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02\orem_11\10_Объекты\05_Закрытие\2025\"/>
    </mc:Choice>
  </mc:AlternateContent>
  <xr:revisionPtr revIDLastSave="0" documentId="13_ncr:1_{36CC21CD-3F36-45BF-93C6-62B3DF31F61F}" xr6:coauthVersionLast="47" xr6:coauthVersionMax="47" xr10:uidLastSave="{00000000-0000-0000-0000-000000000000}"/>
  <bookViews>
    <workbookView xWindow="-120" yWindow="-120" windowWidth="38640" windowHeight="21120" activeTab="10" xr2:uid="{42774AB6-B2A4-4A84-B07F-47B3CBD1E7AE}"/>
  </bookViews>
  <sheets>
    <sheet name="Январь" sheetId="1" r:id="rId1"/>
    <sheet name="Февраль" sheetId="2" r:id="rId2"/>
    <sheet name="Март" sheetId="3" r:id="rId3"/>
    <sheet name="Апрель" sheetId="4" r:id="rId4"/>
    <sheet name="Май" sheetId="5" r:id="rId5"/>
    <sheet name="Июнь" sheetId="6" r:id="rId6"/>
    <sheet name="Июль" sheetId="7" r:id="rId7"/>
    <sheet name="Август" sheetId="8" r:id="rId8"/>
    <sheet name="Сентябрь" sheetId="9" r:id="rId9"/>
    <sheet name="Октябрь" sheetId="10" r:id="rId10"/>
    <sheet name="Ноябрь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1" l="1"/>
  <c r="K29" i="11"/>
  <c r="F29" i="11"/>
  <c r="F28" i="11"/>
  <c r="K27" i="11"/>
  <c r="F27" i="11"/>
  <c r="F26" i="11"/>
  <c r="K25" i="11"/>
  <c r="F25" i="11"/>
  <c r="K24" i="11"/>
  <c r="F24" i="11"/>
  <c r="F23" i="11"/>
  <c r="K22" i="11"/>
  <c r="F22" i="11"/>
  <c r="K21" i="11"/>
  <c r="F21" i="11"/>
  <c r="F20" i="11"/>
  <c r="K19" i="11"/>
  <c r="F19" i="11"/>
  <c r="F18" i="11"/>
  <c r="F17" i="11"/>
  <c r="K16" i="11"/>
  <c r="F16" i="11"/>
  <c r="K15" i="11"/>
  <c r="F15" i="11"/>
  <c r="F14" i="11"/>
  <c r="K13" i="11"/>
  <c r="C30" i="11"/>
  <c r="K10" i="11"/>
  <c r="F10" i="11"/>
  <c r="K9" i="11"/>
  <c r="F9" i="11"/>
  <c r="K8" i="11"/>
  <c r="F8" i="11"/>
  <c r="F7" i="11"/>
  <c r="B30" i="11"/>
  <c r="F25" i="10"/>
  <c r="F21" i="10"/>
  <c r="K18" i="10"/>
  <c r="F13" i="10"/>
  <c r="K17" i="10"/>
  <c r="K27" i="10"/>
  <c r="K23" i="10"/>
  <c r="K19" i="10"/>
  <c r="F28" i="10"/>
  <c r="F27" i="10"/>
  <c r="F26" i="10"/>
  <c r="F24" i="10"/>
  <c r="F23" i="10"/>
  <c r="F22" i="10"/>
  <c r="F20" i="10"/>
  <c r="F19" i="10"/>
  <c r="F18" i="10"/>
  <c r="F17" i="10"/>
  <c r="F16" i="10"/>
  <c r="F15" i="10"/>
  <c r="F8" i="10"/>
  <c r="I28" i="9"/>
  <c r="I27" i="9"/>
  <c r="I26" i="9"/>
  <c r="G26" i="9"/>
  <c r="J25" i="9"/>
  <c r="I25" i="9"/>
  <c r="G25" i="9"/>
  <c r="E25" i="9"/>
  <c r="B25" i="9"/>
  <c r="D25" i="9"/>
  <c r="I24" i="9"/>
  <c r="G23" i="9"/>
  <c r="I22" i="9"/>
  <c r="I21" i="9"/>
  <c r="H21" i="9"/>
  <c r="G21" i="9"/>
  <c r="C21" i="9"/>
  <c r="B21" i="9"/>
  <c r="H20" i="9"/>
  <c r="I19" i="9"/>
  <c r="G18" i="9"/>
  <c r="I16" i="9"/>
  <c r="G16" i="9"/>
  <c r="G13" i="9"/>
  <c r="J14" i="9"/>
  <c r="I14" i="9"/>
  <c r="G14" i="9"/>
  <c r="D14" i="9"/>
  <c r="B14" i="9"/>
  <c r="I13" i="9"/>
  <c r="B13" i="9"/>
  <c r="I12" i="9"/>
  <c r="H12" i="9"/>
  <c r="D12" i="9"/>
  <c r="C12" i="9"/>
  <c r="B11" i="9"/>
  <c r="G11" i="9" s="1"/>
  <c r="E11" i="9"/>
  <c r="J11" i="9" s="1"/>
  <c r="I11" i="9"/>
  <c r="D11" i="9"/>
  <c r="G10" i="9"/>
  <c r="B10" i="9"/>
  <c r="I9" i="9"/>
  <c r="D9" i="9"/>
  <c r="G8" i="9"/>
  <c r="I7" i="9"/>
  <c r="G7" i="9"/>
  <c r="B7" i="9"/>
  <c r="K20" i="11" l="1"/>
  <c r="K23" i="11"/>
  <c r="K17" i="11"/>
  <c r="K28" i="11"/>
  <c r="J30" i="11"/>
  <c r="K18" i="11"/>
  <c r="K14" i="11"/>
  <c r="I30" i="11"/>
  <c r="K26" i="11"/>
  <c r="K11" i="11"/>
  <c r="D30" i="11"/>
  <c r="F13" i="11"/>
  <c r="F12" i="11"/>
  <c r="F11" i="11"/>
  <c r="F30" i="11" s="1"/>
  <c r="K12" i="11"/>
  <c r="K22" i="10"/>
  <c r="K15" i="10"/>
  <c r="K8" i="10"/>
  <c r="K28" i="10"/>
  <c r="K26" i="10"/>
  <c r="E29" i="10"/>
  <c r="J29" i="10"/>
  <c r="K24" i="10"/>
  <c r="B29" i="10"/>
  <c r="K20" i="10"/>
  <c r="K16" i="10"/>
  <c r="K13" i="10"/>
  <c r="C29" i="10"/>
  <c r="F12" i="10"/>
  <c r="K12" i="10"/>
  <c r="F11" i="10"/>
  <c r="D29" i="10"/>
  <c r="K9" i="10"/>
  <c r="F9" i="10"/>
  <c r="K10" i="10"/>
  <c r="K14" i="10"/>
  <c r="K21" i="10"/>
  <c r="H29" i="10"/>
  <c r="I29" i="10"/>
  <c r="F14" i="10"/>
  <c r="F7" i="10"/>
  <c r="F10" i="10"/>
  <c r="D29" i="9"/>
  <c r="J28" i="9"/>
  <c r="K28" i="9"/>
  <c r="H28" i="9"/>
  <c r="G28" i="9"/>
  <c r="F28" i="9"/>
  <c r="J27" i="9"/>
  <c r="H27" i="9"/>
  <c r="G27" i="9"/>
  <c r="K27" i="9" s="1"/>
  <c r="F27" i="9"/>
  <c r="H26" i="9"/>
  <c r="K26" i="9"/>
  <c r="F26" i="9"/>
  <c r="H25" i="9"/>
  <c r="F25" i="9"/>
  <c r="K24" i="9"/>
  <c r="J24" i="9"/>
  <c r="H24" i="9"/>
  <c r="G24" i="9"/>
  <c r="F24" i="9"/>
  <c r="J23" i="9"/>
  <c r="I23" i="9"/>
  <c r="K23" i="9" s="1"/>
  <c r="H23" i="9"/>
  <c r="F23" i="9"/>
  <c r="J22" i="9"/>
  <c r="H22" i="9"/>
  <c r="G22" i="9"/>
  <c r="K22" i="9" s="1"/>
  <c r="F22" i="9"/>
  <c r="J21" i="9"/>
  <c r="F21" i="9"/>
  <c r="J20" i="9"/>
  <c r="I20" i="9"/>
  <c r="G20" i="9"/>
  <c r="F20" i="9"/>
  <c r="J19" i="9"/>
  <c r="K19" i="9" s="1"/>
  <c r="H19" i="9"/>
  <c r="G19" i="9"/>
  <c r="F19" i="9"/>
  <c r="J18" i="9"/>
  <c r="H18" i="9"/>
  <c r="K18" i="9"/>
  <c r="F18" i="9"/>
  <c r="J17" i="9"/>
  <c r="H17" i="9"/>
  <c r="G17" i="9"/>
  <c r="K17" i="9" s="1"/>
  <c r="F17" i="9"/>
  <c r="J16" i="9"/>
  <c r="H16" i="9"/>
  <c r="F16" i="9"/>
  <c r="J15" i="9"/>
  <c r="I15" i="9"/>
  <c r="H15" i="9"/>
  <c r="K15" i="9" s="1"/>
  <c r="F15" i="9"/>
  <c r="H14" i="9"/>
  <c r="J13" i="9"/>
  <c r="K13" i="9"/>
  <c r="J12" i="9"/>
  <c r="G12" i="9"/>
  <c r="C29" i="9"/>
  <c r="J29" i="9"/>
  <c r="F11" i="9"/>
  <c r="J10" i="9"/>
  <c r="I10" i="9"/>
  <c r="H10" i="9"/>
  <c r="K10" i="9"/>
  <c r="K9" i="9"/>
  <c r="H9" i="9"/>
  <c r="G9" i="9"/>
  <c r="F9" i="9"/>
  <c r="J8" i="9"/>
  <c r="I8" i="9"/>
  <c r="H8" i="9"/>
  <c r="K8" i="9"/>
  <c r="F8" i="9"/>
  <c r="J7" i="9"/>
  <c r="H7" i="9"/>
  <c r="B29" i="9"/>
  <c r="H30" i="11" l="1"/>
  <c r="K7" i="11"/>
  <c r="K30" i="11" s="1"/>
  <c r="G30" i="11"/>
  <c r="K25" i="10"/>
  <c r="K11" i="10"/>
  <c r="F29" i="10"/>
  <c r="K7" i="10"/>
  <c r="G29" i="10"/>
  <c r="K20" i="9"/>
  <c r="K16" i="9"/>
  <c r="K14" i="9"/>
  <c r="I29" i="9"/>
  <c r="F7" i="9"/>
  <c r="K11" i="9"/>
  <c r="E29" i="9"/>
  <c r="F10" i="9"/>
  <c r="F12" i="9"/>
  <c r="K25" i="9"/>
  <c r="F14" i="9"/>
  <c r="F13" i="9"/>
  <c r="K21" i="9"/>
  <c r="K29" i="10" l="1"/>
  <c r="F29" i="9"/>
  <c r="G29" i="9"/>
  <c r="K7" i="9"/>
  <c r="K12" i="9"/>
  <c r="H29" i="9"/>
  <c r="K29" i="9" l="1"/>
  <c r="D14" i="8" l="1"/>
  <c r="B14" i="8"/>
  <c r="J25" i="8"/>
  <c r="I25" i="8"/>
  <c r="H25" i="8"/>
  <c r="G25" i="8"/>
  <c r="E25" i="8"/>
  <c r="D25" i="8"/>
  <c r="B25" i="8"/>
  <c r="B21" i="8" l="1"/>
  <c r="G13" i="8"/>
  <c r="B13" i="8"/>
  <c r="D12" i="8"/>
  <c r="C12" i="8"/>
  <c r="H12" i="8" s="1"/>
  <c r="G11" i="8"/>
  <c r="J11" i="8"/>
  <c r="J12" i="8"/>
  <c r="E11" i="8"/>
  <c r="D11" i="8"/>
  <c r="I11" i="8" s="1"/>
  <c r="B11" i="8"/>
  <c r="B10" i="8"/>
  <c r="G10" i="8" s="1"/>
  <c r="K10" i="8" s="1"/>
  <c r="G9" i="8"/>
  <c r="I9" i="8"/>
  <c r="G8" i="8"/>
  <c r="I7" i="8"/>
  <c r="G7" i="8"/>
  <c r="B7" i="8"/>
  <c r="F7" i="8" s="1"/>
  <c r="C29" i="8"/>
  <c r="J28" i="8"/>
  <c r="I28" i="8"/>
  <c r="H28" i="8"/>
  <c r="G28" i="8"/>
  <c r="F28" i="8"/>
  <c r="J27" i="8"/>
  <c r="I27" i="8"/>
  <c r="H27" i="8"/>
  <c r="G27" i="8"/>
  <c r="F27" i="8"/>
  <c r="I26" i="8"/>
  <c r="H26" i="8"/>
  <c r="G26" i="8"/>
  <c r="F26" i="8"/>
  <c r="J24" i="8"/>
  <c r="I24" i="8"/>
  <c r="H24" i="8"/>
  <c r="G24" i="8"/>
  <c r="F24" i="8"/>
  <c r="J23" i="8"/>
  <c r="I23" i="8"/>
  <c r="H23" i="8"/>
  <c r="G23" i="8"/>
  <c r="F23" i="8"/>
  <c r="J22" i="8"/>
  <c r="I22" i="8"/>
  <c r="H22" i="8"/>
  <c r="K22" i="8" s="1"/>
  <c r="G22" i="8"/>
  <c r="F22" i="8"/>
  <c r="J21" i="8"/>
  <c r="I21" i="8"/>
  <c r="H21" i="8"/>
  <c r="F21" i="8"/>
  <c r="G21" i="8"/>
  <c r="J20" i="8"/>
  <c r="I20" i="8"/>
  <c r="H20" i="8"/>
  <c r="G20" i="8"/>
  <c r="F20" i="8"/>
  <c r="J19" i="8"/>
  <c r="I19" i="8"/>
  <c r="H19" i="8"/>
  <c r="G19" i="8"/>
  <c r="F19" i="8"/>
  <c r="J18" i="8"/>
  <c r="H18" i="8"/>
  <c r="G18" i="8"/>
  <c r="F18" i="8"/>
  <c r="J17" i="8"/>
  <c r="H17" i="8"/>
  <c r="G17" i="8"/>
  <c r="F17" i="8"/>
  <c r="J16" i="8"/>
  <c r="I16" i="8"/>
  <c r="H16" i="8"/>
  <c r="G16" i="8"/>
  <c r="F16" i="8"/>
  <c r="J15" i="8"/>
  <c r="I15" i="8"/>
  <c r="H15" i="8"/>
  <c r="F15" i="8"/>
  <c r="J14" i="8"/>
  <c r="I14" i="8"/>
  <c r="H14" i="8"/>
  <c r="F14" i="8"/>
  <c r="G14" i="8"/>
  <c r="J13" i="8"/>
  <c r="I13" i="8"/>
  <c r="G12" i="8"/>
  <c r="J10" i="8"/>
  <c r="I10" i="8"/>
  <c r="H10" i="8"/>
  <c r="H9" i="8"/>
  <c r="F9" i="8"/>
  <c r="J8" i="8"/>
  <c r="I8" i="8"/>
  <c r="H8" i="8"/>
  <c r="F8" i="8"/>
  <c r="J7" i="8"/>
  <c r="H7" i="8"/>
  <c r="I28" i="7"/>
  <c r="G26" i="7"/>
  <c r="J25" i="7"/>
  <c r="I25" i="7"/>
  <c r="G25" i="7"/>
  <c r="E25" i="7"/>
  <c r="D25" i="7"/>
  <c r="B25" i="7"/>
  <c r="G23" i="7"/>
  <c r="I22" i="7"/>
  <c r="H21" i="7"/>
  <c r="I21" i="7"/>
  <c r="G21" i="7"/>
  <c r="G22" i="7"/>
  <c r="B21" i="7"/>
  <c r="I27" i="7"/>
  <c r="I26" i="7"/>
  <c r="I24" i="7"/>
  <c r="I23" i="7"/>
  <c r="I20" i="7"/>
  <c r="I15" i="7"/>
  <c r="I10" i="7"/>
  <c r="I8" i="7"/>
  <c r="I7" i="7"/>
  <c r="I19" i="7"/>
  <c r="H20" i="7"/>
  <c r="G18" i="7"/>
  <c r="K14" i="8" l="1"/>
  <c r="K24" i="8"/>
  <c r="K27" i="8"/>
  <c r="K16" i="8"/>
  <c r="F10" i="8"/>
  <c r="K19" i="8"/>
  <c r="K17" i="8"/>
  <c r="K21" i="8"/>
  <c r="F25" i="8"/>
  <c r="K18" i="8"/>
  <c r="F12" i="8"/>
  <c r="I12" i="8"/>
  <c r="I29" i="8" s="1"/>
  <c r="K23" i="8"/>
  <c r="K20" i="8"/>
  <c r="K26" i="8"/>
  <c r="K15" i="8"/>
  <c r="K28" i="8"/>
  <c r="F13" i="8"/>
  <c r="K13" i="8"/>
  <c r="H29" i="8"/>
  <c r="B29" i="8"/>
  <c r="K9" i="8"/>
  <c r="K8" i="8"/>
  <c r="K7" i="8"/>
  <c r="J29" i="8"/>
  <c r="K11" i="8"/>
  <c r="K25" i="8"/>
  <c r="E29" i="8"/>
  <c r="D29" i="8"/>
  <c r="F11" i="8"/>
  <c r="G29" i="8"/>
  <c r="I16" i="7"/>
  <c r="G16" i="7"/>
  <c r="J14" i="7"/>
  <c r="I14" i="7"/>
  <c r="D14" i="7"/>
  <c r="G14" i="7"/>
  <c r="B14" i="7"/>
  <c r="I13" i="7"/>
  <c r="K13" i="7" s="1"/>
  <c r="I12" i="7"/>
  <c r="H12" i="7"/>
  <c r="D12" i="7"/>
  <c r="C12" i="7"/>
  <c r="J11" i="7"/>
  <c r="I11" i="7"/>
  <c r="G11" i="7"/>
  <c r="E11" i="7"/>
  <c r="F11" i="7" s="1"/>
  <c r="D11" i="7"/>
  <c r="B11" i="7"/>
  <c r="G10" i="7"/>
  <c r="G8" i="7"/>
  <c r="G9" i="7"/>
  <c r="I9" i="7"/>
  <c r="G7" i="7"/>
  <c r="E29" i="7"/>
  <c r="J28" i="7"/>
  <c r="H28" i="7"/>
  <c r="G28" i="7"/>
  <c r="K28" i="7" s="1"/>
  <c r="F28" i="7"/>
  <c r="J27" i="7"/>
  <c r="H27" i="7"/>
  <c r="G27" i="7"/>
  <c r="K27" i="7" s="1"/>
  <c r="F27" i="7"/>
  <c r="H26" i="7"/>
  <c r="K26" i="7"/>
  <c r="H25" i="7"/>
  <c r="J24" i="7"/>
  <c r="H24" i="7"/>
  <c r="G24" i="7"/>
  <c r="K24" i="7" s="1"/>
  <c r="F24" i="7"/>
  <c r="J23" i="7"/>
  <c r="H23" i="7"/>
  <c r="K23" i="7"/>
  <c r="F23" i="7"/>
  <c r="J22" i="7"/>
  <c r="H22" i="7"/>
  <c r="K22" i="7"/>
  <c r="F22" i="7"/>
  <c r="J21" i="7"/>
  <c r="F21" i="7"/>
  <c r="J20" i="7"/>
  <c r="G20" i="7"/>
  <c r="F20" i="7"/>
  <c r="J19" i="7"/>
  <c r="H19" i="7"/>
  <c r="G19" i="7"/>
  <c r="F19" i="7"/>
  <c r="J18" i="7"/>
  <c r="H18" i="7"/>
  <c r="F18" i="7"/>
  <c r="J17" i="7"/>
  <c r="H17" i="7"/>
  <c r="G17" i="7"/>
  <c r="K17" i="7" s="1"/>
  <c r="F17" i="7"/>
  <c r="J16" i="7"/>
  <c r="H16" i="7"/>
  <c r="F16" i="7"/>
  <c r="J15" i="7"/>
  <c r="H15" i="7"/>
  <c r="K15" i="7" s="1"/>
  <c r="F15" i="7"/>
  <c r="H14" i="7"/>
  <c r="J13" i="7"/>
  <c r="F13" i="7"/>
  <c r="J12" i="7"/>
  <c r="G12" i="7"/>
  <c r="J10" i="7"/>
  <c r="H10" i="7"/>
  <c r="H9" i="7"/>
  <c r="J8" i="7"/>
  <c r="H8" i="7"/>
  <c r="F8" i="7"/>
  <c r="J7" i="7"/>
  <c r="H7" i="7"/>
  <c r="F7" i="7"/>
  <c r="I28" i="6"/>
  <c r="I27" i="6"/>
  <c r="I26" i="6"/>
  <c r="G26" i="6"/>
  <c r="B26" i="6"/>
  <c r="J25" i="6"/>
  <c r="I25" i="6"/>
  <c r="G25" i="6"/>
  <c r="E25" i="6"/>
  <c r="D25" i="6"/>
  <c r="B25" i="6"/>
  <c r="I24" i="6"/>
  <c r="G23" i="6"/>
  <c r="I22" i="6"/>
  <c r="I21" i="6"/>
  <c r="H21" i="6"/>
  <c r="G21" i="6"/>
  <c r="B21" i="6"/>
  <c r="H20" i="6"/>
  <c r="I19" i="6"/>
  <c r="G18" i="6"/>
  <c r="I16" i="6"/>
  <c r="G16" i="6"/>
  <c r="J14" i="6"/>
  <c r="I14" i="6"/>
  <c r="G14" i="6"/>
  <c r="D14" i="6"/>
  <c r="B14" i="6"/>
  <c r="I13" i="6"/>
  <c r="I12" i="6"/>
  <c r="H12" i="6"/>
  <c r="D12" i="6"/>
  <c r="C12" i="6"/>
  <c r="J11" i="6"/>
  <c r="I11" i="6"/>
  <c r="G11" i="6"/>
  <c r="E11" i="6"/>
  <c r="D11" i="6"/>
  <c r="B11" i="6"/>
  <c r="G10" i="6"/>
  <c r="B10" i="6"/>
  <c r="D9" i="6"/>
  <c r="I7" i="6"/>
  <c r="G7" i="6"/>
  <c r="G8" i="6"/>
  <c r="F29" i="8" l="1"/>
  <c r="K12" i="8"/>
  <c r="K29" i="8" s="1"/>
  <c r="K21" i="7"/>
  <c r="K20" i="7"/>
  <c r="K19" i="7"/>
  <c r="K18" i="7"/>
  <c r="K16" i="7"/>
  <c r="D29" i="7"/>
  <c r="K12" i="7"/>
  <c r="C29" i="7"/>
  <c r="K11" i="7"/>
  <c r="K9" i="7"/>
  <c r="F9" i="7"/>
  <c r="K8" i="7"/>
  <c r="K7" i="7"/>
  <c r="J29" i="7"/>
  <c r="G29" i="7"/>
  <c r="K10" i="7"/>
  <c r="K25" i="7"/>
  <c r="I29" i="7"/>
  <c r="K14" i="7"/>
  <c r="F14" i="7"/>
  <c r="H29" i="7"/>
  <c r="F26" i="7"/>
  <c r="F10" i="7"/>
  <c r="F12" i="7"/>
  <c r="F25" i="7"/>
  <c r="B29" i="7"/>
  <c r="E29" i="6"/>
  <c r="D29" i="6"/>
  <c r="C29" i="6"/>
  <c r="J28" i="6"/>
  <c r="H28" i="6"/>
  <c r="G28" i="6"/>
  <c r="F28" i="6"/>
  <c r="J27" i="6"/>
  <c r="H27" i="6"/>
  <c r="G27" i="6"/>
  <c r="F27" i="6"/>
  <c r="H26" i="6"/>
  <c r="F26" i="6"/>
  <c r="H25" i="6"/>
  <c r="J24" i="6"/>
  <c r="H24" i="6"/>
  <c r="G24" i="6"/>
  <c r="F24" i="6"/>
  <c r="J23" i="6"/>
  <c r="I23" i="6"/>
  <c r="H23" i="6"/>
  <c r="K23" i="6"/>
  <c r="F23" i="6"/>
  <c r="J22" i="6"/>
  <c r="H22" i="6"/>
  <c r="G22" i="6"/>
  <c r="K22" i="6" s="1"/>
  <c r="F22" i="6"/>
  <c r="J21" i="6"/>
  <c r="J20" i="6"/>
  <c r="I20" i="6"/>
  <c r="G20" i="6"/>
  <c r="F20" i="6"/>
  <c r="J19" i="6"/>
  <c r="H19" i="6"/>
  <c r="G19" i="6"/>
  <c r="F19" i="6"/>
  <c r="J18" i="6"/>
  <c r="I18" i="6"/>
  <c r="H18" i="6"/>
  <c r="K18" i="6"/>
  <c r="F18" i="6"/>
  <c r="J17" i="6"/>
  <c r="H17" i="6"/>
  <c r="G17" i="6"/>
  <c r="K17" i="6" s="1"/>
  <c r="F17" i="6"/>
  <c r="J16" i="6"/>
  <c r="H16" i="6"/>
  <c r="F16" i="6"/>
  <c r="J15" i="6"/>
  <c r="I15" i="6"/>
  <c r="H15" i="6"/>
  <c r="K15" i="6" s="1"/>
  <c r="F15" i="6"/>
  <c r="J29" i="6"/>
  <c r="H14" i="6"/>
  <c r="J13" i="6"/>
  <c r="K13" i="6"/>
  <c r="F13" i="6"/>
  <c r="J12" i="6"/>
  <c r="G12" i="6"/>
  <c r="F12" i="6"/>
  <c r="F11" i="6"/>
  <c r="J10" i="6"/>
  <c r="I10" i="6"/>
  <c r="H10" i="6"/>
  <c r="B29" i="6"/>
  <c r="H9" i="6"/>
  <c r="G9" i="6"/>
  <c r="I9" i="6"/>
  <c r="J8" i="6"/>
  <c r="I8" i="6"/>
  <c r="H8" i="6"/>
  <c r="K8" i="6"/>
  <c r="F8" i="6"/>
  <c r="J7" i="6"/>
  <c r="H7" i="6"/>
  <c r="F7" i="6"/>
  <c r="I28" i="5"/>
  <c r="I27" i="5"/>
  <c r="I26" i="5"/>
  <c r="G26" i="5"/>
  <c r="J25" i="5"/>
  <c r="I25" i="5"/>
  <c r="G25" i="5"/>
  <c r="E25" i="5"/>
  <c r="D25" i="5"/>
  <c r="B25" i="5"/>
  <c r="F25" i="5" s="1"/>
  <c r="I24" i="5"/>
  <c r="G23" i="5"/>
  <c r="I22" i="5"/>
  <c r="I21" i="5"/>
  <c r="H21" i="5"/>
  <c r="G21" i="5"/>
  <c r="B21" i="5"/>
  <c r="H20" i="5"/>
  <c r="I19" i="5"/>
  <c r="G18" i="5"/>
  <c r="I16" i="5"/>
  <c r="G16" i="5"/>
  <c r="B15" i="5"/>
  <c r="J14" i="5"/>
  <c r="I14" i="5"/>
  <c r="G14" i="5"/>
  <c r="D14" i="5"/>
  <c r="B14" i="5"/>
  <c r="I13" i="5"/>
  <c r="I12" i="5"/>
  <c r="H12" i="5"/>
  <c r="D12" i="5"/>
  <c r="C12" i="5"/>
  <c r="J11" i="5"/>
  <c r="I11" i="5"/>
  <c r="G11" i="5"/>
  <c r="E11" i="5"/>
  <c r="D11" i="5"/>
  <c r="B11" i="5"/>
  <c r="B10" i="5"/>
  <c r="G10" i="5" s="1"/>
  <c r="K10" i="5" s="1"/>
  <c r="I9" i="5"/>
  <c r="K9" i="5" s="1"/>
  <c r="D9" i="5"/>
  <c r="G9" i="5"/>
  <c r="G8" i="5"/>
  <c r="K8" i="5" s="1"/>
  <c r="I7" i="5"/>
  <c r="G7" i="5"/>
  <c r="J28" i="5"/>
  <c r="H28" i="5"/>
  <c r="G28" i="5"/>
  <c r="K28" i="5" s="1"/>
  <c r="F28" i="5"/>
  <c r="J27" i="5"/>
  <c r="H27" i="5"/>
  <c r="G27" i="5"/>
  <c r="K27" i="5" s="1"/>
  <c r="F27" i="5"/>
  <c r="H26" i="5"/>
  <c r="F26" i="5"/>
  <c r="H25" i="5"/>
  <c r="J24" i="5"/>
  <c r="K24" i="5"/>
  <c r="H24" i="5"/>
  <c r="G24" i="5"/>
  <c r="F24" i="5"/>
  <c r="J23" i="5"/>
  <c r="I23" i="5"/>
  <c r="H23" i="5"/>
  <c r="K23" i="5"/>
  <c r="F23" i="5"/>
  <c r="J22" i="5"/>
  <c r="H22" i="5"/>
  <c r="G22" i="5"/>
  <c r="F22" i="5"/>
  <c r="J21" i="5"/>
  <c r="J20" i="5"/>
  <c r="I20" i="5"/>
  <c r="G20" i="5"/>
  <c r="F20" i="5"/>
  <c r="J19" i="5"/>
  <c r="H19" i="5"/>
  <c r="G19" i="5"/>
  <c r="F19" i="5"/>
  <c r="J18" i="5"/>
  <c r="I18" i="5"/>
  <c r="H18" i="5"/>
  <c r="K18" i="5"/>
  <c r="F18" i="5"/>
  <c r="J17" i="5"/>
  <c r="H17" i="5"/>
  <c r="G17" i="5"/>
  <c r="K17" i="5" s="1"/>
  <c r="F17" i="5"/>
  <c r="J16" i="5"/>
  <c r="H16" i="5"/>
  <c r="F16" i="5"/>
  <c r="J15" i="5"/>
  <c r="I15" i="5"/>
  <c r="H15" i="5"/>
  <c r="K15" i="5"/>
  <c r="F15" i="5"/>
  <c r="H14" i="5"/>
  <c r="F14" i="5"/>
  <c r="J13" i="5"/>
  <c r="K13" i="5"/>
  <c r="F13" i="5"/>
  <c r="J12" i="5"/>
  <c r="G12" i="5"/>
  <c r="F12" i="5"/>
  <c r="E29" i="5"/>
  <c r="J10" i="5"/>
  <c r="I10" i="5"/>
  <c r="H10" i="5"/>
  <c r="H9" i="5"/>
  <c r="F9" i="5"/>
  <c r="J8" i="5"/>
  <c r="I8" i="5"/>
  <c r="H8" i="5"/>
  <c r="F8" i="5"/>
  <c r="J7" i="5"/>
  <c r="H7" i="5"/>
  <c r="F7" i="5"/>
  <c r="I9" i="4"/>
  <c r="D9" i="4"/>
  <c r="J14" i="4"/>
  <c r="I14" i="4"/>
  <c r="G14" i="4"/>
  <c r="F29" i="7" l="1"/>
  <c r="K29" i="7"/>
  <c r="K26" i="6"/>
  <c r="K25" i="6"/>
  <c r="K24" i="6"/>
  <c r="K21" i="6"/>
  <c r="K20" i="6"/>
  <c r="K14" i="6"/>
  <c r="K11" i="6"/>
  <c r="K27" i="6"/>
  <c r="K28" i="6"/>
  <c r="K19" i="6"/>
  <c r="K16" i="6"/>
  <c r="K7" i="6"/>
  <c r="I29" i="6"/>
  <c r="K9" i="6"/>
  <c r="F9" i="6"/>
  <c r="F14" i="6"/>
  <c r="K12" i="6"/>
  <c r="F21" i="6"/>
  <c r="F10" i="6"/>
  <c r="F25" i="6"/>
  <c r="K10" i="6"/>
  <c r="K26" i="5"/>
  <c r="K21" i="5"/>
  <c r="K20" i="5"/>
  <c r="K19" i="5"/>
  <c r="K16" i="5"/>
  <c r="K14" i="5"/>
  <c r="K11" i="5"/>
  <c r="K22" i="5"/>
  <c r="K7" i="5"/>
  <c r="I29" i="5"/>
  <c r="J29" i="5"/>
  <c r="K12" i="5"/>
  <c r="B29" i="5"/>
  <c r="C29" i="5"/>
  <c r="D29" i="5"/>
  <c r="K25" i="5"/>
  <c r="F21" i="5"/>
  <c r="F11" i="5"/>
  <c r="F10" i="5"/>
  <c r="J16" i="3"/>
  <c r="J16" i="4"/>
  <c r="K29" i="6" l="1"/>
  <c r="G29" i="6"/>
  <c r="F29" i="6"/>
  <c r="H29" i="6"/>
  <c r="F29" i="5"/>
  <c r="K29" i="5"/>
  <c r="G29" i="5"/>
  <c r="H29" i="5"/>
  <c r="I28" i="4"/>
  <c r="I26" i="4"/>
  <c r="G26" i="4"/>
  <c r="J25" i="4"/>
  <c r="I25" i="4"/>
  <c r="G25" i="4"/>
  <c r="E25" i="4"/>
  <c r="F25" i="4" s="1"/>
  <c r="D25" i="4"/>
  <c r="B25" i="4"/>
  <c r="I24" i="4"/>
  <c r="G23" i="4"/>
  <c r="I22" i="4"/>
  <c r="I21" i="4"/>
  <c r="H21" i="4"/>
  <c r="G21" i="4"/>
  <c r="B21" i="4"/>
  <c r="H20" i="4"/>
  <c r="I19" i="4"/>
  <c r="K17" i="4"/>
  <c r="J17" i="4"/>
  <c r="H17" i="4"/>
  <c r="G17" i="4"/>
  <c r="F17" i="4"/>
  <c r="I16" i="4"/>
  <c r="G16" i="4"/>
  <c r="I13" i="4"/>
  <c r="D12" i="4"/>
  <c r="I12" i="4" s="1"/>
  <c r="C12" i="4"/>
  <c r="H12" i="4" s="1"/>
  <c r="E11" i="4"/>
  <c r="J11" i="4" s="1"/>
  <c r="D11" i="4"/>
  <c r="D29" i="4" s="1"/>
  <c r="B11" i="4"/>
  <c r="F11" i="4" s="1"/>
  <c r="B10" i="4"/>
  <c r="G10" i="4" s="1"/>
  <c r="K10" i="4" s="1"/>
  <c r="I7" i="4"/>
  <c r="G7" i="4"/>
  <c r="J28" i="4"/>
  <c r="H28" i="4"/>
  <c r="G28" i="4"/>
  <c r="F28" i="4"/>
  <c r="J27" i="4"/>
  <c r="I27" i="4"/>
  <c r="H27" i="4"/>
  <c r="G27" i="4"/>
  <c r="K27" i="4" s="1"/>
  <c r="F27" i="4"/>
  <c r="H26" i="4"/>
  <c r="F26" i="4"/>
  <c r="H25" i="4"/>
  <c r="J24" i="4"/>
  <c r="H24" i="4"/>
  <c r="G24" i="4"/>
  <c r="F24" i="4"/>
  <c r="J23" i="4"/>
  <c r="I23" i="4"/>
  <c r="H23" i="4"/>
  <c r="F23" i="4"/>
  <c r="J22" i="4"/>
  <c r="H22" i="4"/>
  <c r="G22" i="4"/>
  <c r="K22" i="4" s="1"/>
  <c r="F22" i="4"/>
  <c r="J21" i="4"/>
  <c r="F21" i="4"/>
  <c r="J20" i="4"/>
  <c r="I20" i="4"/>
  <c r="G20" i="4"/>
  <c r="F20" i="4"/>
  <c r="J19" i="4"/>
  <c r="H19" i="4"/>
  <c r="G19" i="4"/>
  <c r="K19" i="4" s="1"/>
  <c r="F19" i="4"/>
  <c r="J18" i="4"/>
  <c r="I18" i="4"/>
  <c r="H18" i="4"/>
  <c r="G18" i="4"/>
  <c r="K18" i="4" s="1"/>
  <c r="F18" i="4"/>
  <c r="H16" i="4"/>
  <c r="F16" i="4"/>
  <c r="J15" i="4"/>
  <c r="I15" i="4"/>
  <c r="H15" i="4"/>
  <c r="G15" i="4"/>
  <c r="K15" i="4" s="1"/>
  <c r="F15" i="4"/>
  <c r="K14" i="4"/>
  <c r="H14" i="4"/>
  <c r="F14" i="4"/>
  <c r="J13" i="4"/>
  <c r="F13" i="4"/>
  <c r="J12" i="4"/>
  <c r="G12" i="4"/>
  <c r="F12" i="4"/>
  <c r="J10" i="4"/>
  <c r="I10" i="4"/>
  <c r="H10" i="4"/>
  <c r="H9" i="4"/>
  <c r="G9" i="4"/>
  <c r="F9" i="4"/>
  <c r="J8" i="4"/>
  <c r="I8" i="4"/>
  <c r="H8" i="4"/>
  <c r="G8" i="4"/>
  <c r="K8" i="4" s="1"/>
  <c r="F8" i="4"/>
  <c r="J7" i="4"/>
  <c r="H7" i="4"/>
  <c r="F7" i="4"/>
  <c r="J9" i="3"/>
  <c r="I9" i="3"/>
  <c r="J24" i="3"/>
  <c r="I24" i="3"/>
  <c r="G24" i="3"/>
  <c r="E24" i="3"/>
  <c r="D24" i="3"/>
  <c r="B24" i="3"/>
  <c r="K9" i="4" l="1"/>
  <c r="K28" i="4"/>
  <c r="K24" i="4"/>
  <c r="K23" i="4"/>
  <c r="C29" i="4"/>
  <c r="G11" i="4"/>
  <c r="I11" i="4"/>
  <c r="I29" i="4" s="1"/>
  <c r="K20" i="4"/>
  <c r="K26" i="4"/>
  <c r="K12" i="4"/>
  <c r="H29" i="4"/>
  <c r="K16" i="4"/>
  <c r="K13" i="4"/>
  <c r="K7" i="4"/>
  <c r="F29" i="4"/>
  <c r="J29" i="4"/>
  <c r="K21" i="4"/>
  <c r="F10" i="4"/>
  <c r="E29" i="4"/>
  <c r="B29" i="4"/>
  <c r="G11" i="3"/>
  <c r="I11" i="3"/>
  <c r="J11" i="3"/>
  <c r="E11" i="3"/>
  <c r="D11" i="3"/>
  <c r="B11" i="3"/>
  <c r="I23" i="3"/>
  <c r="I18" i="3"/>
  <c r="K25" i="4" l="1"/>
  <c r="G29" i="4"/>
  <c r="K11" i="4"/>
  <c r="G15" i="3"/>
  <c r="J14" i="3"/>
  <c r="I14" i="3"/>
  <c r="G14" i="3"/>
  <c r="K29" i="4" l="1"/>
  <c r="I27" i="3"/>
  <c r="I26" i="3"/>
  <c r="I25" i="3"/>
  <c r="G25" i="3"/>
  <c r="G22" i="3"/>
  <c r="I21" i="3"/>
  <c r="I20" i="3"/>
  <c r="H20" i="3"/>
  <c r="G20" i="3"/>
  <c r="B20" i="3"/>
  <c r="H19" i="3"/>
  <c r="G17" i="3"/>
  <c r="I16" i="3"/>
  <c r="G16" i="3"/>
  <c r="I13" i="3"/>
  <c r="I12" i="3"/>
  <c r="H12" i="3"/>
  <c r="G10" i="3" l="1"/>
  <c r="B10" i="3"/>
  <c r="G8" i="3"/>
  <c r="K8" i="3" s="1"/>
  <c r="I7" i="3"/>
  <c r="G7" i="3"/>
  <c r="C28" i="3"/>
  <c r="J27" i="3"/>
  <c r="H27" i="3"/>
  <c r="G27" i="3"/>
  <c r="F27" i="3"/>
  <c r="J26" i="3"/>
  <c r="H26" i="3"/>
  <c r="G26" i="3"/>
  <c r="K26" i="3" s="1"/>
  <c r="F26" i="3"/>
  <c r="H25" i="3"/>
  <c r="K25" i="3"/>
  <c r="F25" i="3"/>
  <c r="H24" i="3"/>
  <c r="F24" i="3"/>
  <c r="J23" i="3"/>
  <c r="H23" i="3"/>
  <c r="G23" i="3"/>
  <c r="K23" i="3" s="1"/>
  <c r="F23" i="3"/>
  <c r="J22" i="3"/>
  <c r="I22" i="3"/>
  <c r="H22" i="3"/>
  <c r="K22" i="3"/>
  <c r="F22" i="3"/>
  <c r="J21" i="3"/>
  <c r="H21" i="3"/>
  <c r="G21" i="3"/>
  <c r="K21" i="3" s="1"/>
  <c r="F21" i="3"/>
  <c r="J20" i="3"/>
  <c r="F20" i="3"/>
  <c r="J19" i="3"/>
  <c r="I19" i="3"/>
  <c r="G19" i="3"/>
  <c r="F19" i="3"/>
  <c r="J18" i="3"/>
  <c r="H18" i="3"/>
  <c r="G18" i="3"/>
  <c r="K18" i="3" s="1"/>
  <c r="F18" i="3"/>
  <c r="J17" i="3"/>
  <c r="I17" i="3"/>
  <c r="H17" i="3"/>
  <c r="K17" i="3"/>
  <c r="F17" i="3"/>
  <c r="H16" i="3"/>
  <c r="F16" i="3"/>
  <c r="J15" i="3"/>
  <c r="I15" i="3"/>
  <c r="H15" i="3"/>
  <c r="F15" i="3"/>
  <c r="H14" i="3"/>
  <c r="J13" i="3"/>
  <c r="K13" i="3"/>
  <c r="F13" i="3"/>
  <c r="J12" i="3"/>
  <c r="G12" i="3"/>
  <c r="F12" i="3"/>
  <c r="B28" i="3"/>
  <c r="J10" i="3"/>
  <c r="I10" i="3"/>
  <c r="H10" i="3"/>
  <c r="K10" i="3"/>
  <c r="F10" i="3"/>
  <c r="H9" i="3"/>
  <c r="G9" i="3"/>
  <c r="F9" i="3"/>
  <c r="J8" i="3"/>
  <c r="I8" i="3"/>
  <c r="H8" i="3"/>
  <c r="F8" i="3"/>
  <c r="J7" i="3"/>
  <c r="H7" i="3"/>
  <c r="F7" i="3"/>
  <c r="J9" i="2"/>
  <c r="I9" i="2"/>
  <c r="I27" i="2"/>
  <c r="I26" i="2"/>
  <c r="I25" i="2"/>
  <c r="G25" i="2"/>
  <c r="J24" i="2"/>
  <c r="I24" i="2"/>
  <c r="G24" i="2"/>
  <c r="E24" i="2"/>
  <c r="D24" i="2"/>
  <c r="B24" i="2"/>
  <c r="I23" i="2"/>
  <c r="G22" i="2"/>
  <c r="I21" i="2"/>
  <c r="B20" i="2"/>
  <c r="B28" i="2" s="1"/>
  <c r="H19" i="2"/>
  <c r="I18" i="2"/>
  <c r="G17" i="2"/>
  <c r="J16" i="2"/>
  <c r="I16" i="2"/>
  <c r="G16" i="2"/>
  <c r="E16" i="2"/>
  <c r="D16" i="2"/>
  <c r="G15" i="2"/>
  <c r="B15" i="2"/>
  <c r="J14" i="2"/>
  <c r="I14" i="2"/>
  <c r="G14" i="2"/>
  <c r="D14" i="2"/>
  <c r="B14" i="2"/>
  <c r="I13" i="2"/>
  <c r="I12" i="2"/>
  <c r="H12" i="2"/>
  <c r="D12" i="2"/>
  <c r="C12" i="2"/>
  <c r="J11" i="2"/>
  <c r="I11" i="2"/>
  <c r="G11" i="2"/>
  <c r="E11" i="2"/>
  <c r="D11" i="2"/>
  <c r="B11" i="2"/>
  <c r="G10" i="2"/>
  <c r="G8" i="2"/>
  <c r="G7" i="2"/>
  <c r="I7" i="2"/>
  <c r="D28" i="2"/>
  <c r="C28" i="2"/>
  <c r="J27" i="2"/>
  <c r="H27" i="2"/>
  <c r="G27" i="2"/>
  <c r="F27" i="2"/>
  <c r="J26" i="2"/>
  <c r="H26" i="2"/>
  <c r="G26" i="2"/>
  <c r="F26" i="2"/>
  <c r="H25" i="2"/>
  <c r="F25" i="2"/>
  <c r="H24" i="2"/>
  <c r="J23" i="2"/>
  <c r="H23" i="2"/>
  <c r="G23" i="2"/>
  <c r="F23" i="2"/>
  <c r="J22" i="2"/>
  <c r="I22" i="2"/>
  <c r="H22" i="2"/>
  <c r="K22" i="2"/>
  <c r="F22" i="2"/>
  <c r="J21" i="2"/>
  <c r="H21" i="2"/>
  <c r="G21" i="2"/>
  <c r="K21" i="2" s="1"/>
  <c r="F21" i="2"/>
  <c r="J20" i="2"/>
  <c r="I20" i="2"/>
  <c r="H20" i="2"/>
  <c r="G20" i="2"/>
  <c r="J19" i="2"/>
  <c r="I19" i="2"/>
  <c r="G19" i="2"/>
  <c r="F19" i="2"/>
  <c r="J18" i="2"/>
  <c r="K18" i="2"/>
  <c r="H18" i="2"/>
  <c r="G18" i="2"/>
  <c r="F18" i="2"/>
  <c r="J17" i="2"/>
  <c r="I17" i="2"/>
  <c r="H17" i="2"/>
  <c r="K17" i="2"/>
  <c r="F17" i="2"/>
  <c r="H16" i="2"/>
  <c r="F16" i="2"/>
  <c r="J15" i="2"/>
  <c r="I15" i="2"/>
  <c r="H15" i="2"/>
  <c r="F15" i="2"/>
  <c r="H14" i="2"/>
  <c r="K14" i="2"/>
  <c r="J13" i="2"/>
  <c r="K13" i="2"/>
  <c r="F13" i="2"/>
  <c r="J12" i="2"/>
  <c r="G12" i="2"/>
  <c r="K12" i="2" s="1"/>
  <c r="F12" i="2"/>
  <c r="E28" i="2"/>
  <c r="J10" i="2"/>
  <c r="I10" i="2"/>
  <c r="H10" i="2"/>
  <c r="K10" i="2"/>
  <c r="F10" i="2"/>
  <c r="H9" i="2"/>
  <c r="G9" i="2"/>
  <c r="F9" i="2"/>
  <c r="J8" i="2"/>
  <c r="I8" i="2"/>
  <c r="H8" i="2"/>
  <c r="K8" i="2"/>
  <c r="F8" i="2"/>
  <c r="J7" i="2"/>
  <c r="H7" i="2"/>
  <c r="F7" i="2"/>
  <c r="K28" i="1"/>
  <c r="J28" i="1"/>
  <c r="I28" i="1"/>
  <c r="H28" i="1"/>
  <c r="G28" i="1"/>
  <c r="B28" i="1"/>
  <c r="C28" i="1"/>
  <c r="D28" i="1"/>
  <c r="E28" i="1"/>
  <c r="K9" i="3" l="1"/>
  <c r="K24" i="3"/>
  <c r="K14" i="3"/>
  <c r="K27" i="3"/>
  <c r="K20" i="3"/>
  <c r="K19" i="3"/>
  <c r="K12" i="3"/>
  <c r="K7" i="3"/>
  <c r="J28" i="3"/>
  <c r="D28" i="3"/>
  <c r="F11" i="3"/>
  <c r="E28" i="3"/>
  <c r="K11" i="3"/>
  <c r="F14" i="3"/>
  <c r="H28" i="3"/>
  <c r="K15" i="3"/>
  <c r="K16" i="3"/>
  <c r="K9" i="2"/>
  <c r="K26" i="2"/>
  <c r="K25" i="2"/>
  <c r="K24" i="2"/>
  <c r="K23" i="2"/>
  <c r="K20" i="2"/>
  <c r="K19" i="2"/>
  <c r="K15" i="2"/>
  <c r="H28" i="2"/>
  <c r="K7" i="2"/>
  <c r="J28" i="2"/>
  <c r="K11" i="2"/>
  <c r="G28" i="2"/>
  <c r="K16" i="2"/>
  <c r="I28" i="2"/>
  <c r="K27" i="2"/>
  <c r="F11" i="2"/>
  <c r="F24" i="2"/>
  <c r="F20" i="2"/>
  <c r="F14" i="2"/>
  <c r="F28" i="1"/>
  <c r="I27" i="1"/>
  <c r="I26" i="1"/>
  <c r="J25" i="1"/>
  <c r="I25" i="1"/>
  <c r="G25" i="1"/>
  <c r="E24" i="1"/>
  <c r="J24" i="1" s="1"/>
  <c r="D24" i="1"/>
  <c r="I24" i="1" s="1"/>
  <c r="B24" i="1"/>
  <c r="G24" i="1" s="1"/>
  <c r="I23" i="1"/>
  <c r="J23" i="1"/>
  <c r="H23" i="1"/>
  <c r="G23" i="1"/>
  <c r="K23" i="1" s="1"/>
  <c r="F23" i="1"/>
  <c r="G22" i="1"/>
  <c r="I21" i="1"/>
  <c r="I20" i="1"/>
  <c r="H20" i="1"/>
  <c r="B20" i="1"/>
  <c r="G20" i="1" s="1"/>
  <c r="H19" i="1"/>
  <c r="I18" i="1"/>
  <c r="G17" i="1"/>
  <c r="G16" i="1"/>
  <c r="E16" i="1"/>
  <c r="J16" i="1" s="1"/>
  <c r="D16" i="1"/>
  <c r="I16" i="1" s="1"/>
  <c r="F28" i="3" l="1"/>
  <c r="K28" i="3"/>
  <c r="G28" i="3"/>
  <c r="I28" i="3"/>
  <c r="K28" i="2"/>
  <c r="F28" i="2"/>
  <c r="B15" i="1"/>
  <c r="J14" i="1"/>
  <c r="D14" i="1"/>
  <c r="I14" i="1" s="1"/>
  <c r="B14" i="1"/>
  <c r="G14" i="1" s="1"/>
  <c r="I13" i="1"/>
  <c r="F13" i="1"/>
  <c r="D12" i="1"/>
  <c r="I12" i="1" s="1"/>
  <c r="C12" i="1"/>
  <c r="H12" i="1" s="1"/>
  <c r="E11" i="1"/>
  <c r="J11" i="1" s="1"/>
  <c r="D11" i="1"/>
  <c r="I11" i="1" s="1"/>
  <c r="B11" i="1"/>
  <c r="G11" i="1" s="1"/>
  <c r="I9" i="1"/>
  <c r="D9" i="1"/>
  <c r="F9" i="1" s="1"/>
  <c r="H9" i="1"/>
  <c r="G9" i="1"/>
  <c r="G8" i="1"/>
  <c r="I7" i="1"/>
  <c r="G7" i="1"/>
  <c r="J7" i="1"/>
  <c r="H7" i="1"/>
  <c r="F7" i="1"/>
  <c r="J17" i="1"/>
  <c r="I17" i="1"/>
  <c r="H17" i="1"/>
  <c r="F17" i="1"/>
  <c r="J12" i="1"/>
  <c r="G12" i="1"/>
  <c r="H16" i="1"/>
  <c r="F16" i="1"/>
  <c r="J10" i="1"/>
  <c r="I10" i="1"/>
  <c r="H10" i="1"/>
  <c r="G10" i="1"/>
  <c r="F10" i="1"/>
  <c r="J19" i="1"/>
  <c r="I19" i="1"/>
  <c r="G19" i="1"/>
  <c r="F19" i="1"/>
  <c r="J15" i="1"/>
  <c r="I15" i="1"/>
  <c r="H15" i="1"/>
  <c r="H14" i="1"/>
  <c r="H25" i="1"/>
  <c r="F25" i="1"/>
  <c r="J27" i="1"/>
  <c r="H27" i="1"/>
  <c r="G27" i="1"/>
  <c r="F27" i="1"/>
  <c r="J18" i="1"/>
  <c r="H18" i="1"/>
  <c r="G18" i="1"/>
  <c r="F18" i="1"/>
  <c r="J13" i="1"/>
  <c r="J21" i="1"/>
  <c r="H21" i="1"/>
  <c r="G21" i="1"/>
  <c r="F21" i="1"/>
  <c r="J22" i="1"/>
  <c r="I22" i="1"/>
  <c r="H22" i="1"/>
  <c r="F22" i="1"/>
  <c r="H24" i="1"/>
  <c r="J8" i="1"/>
  <c r="I8" i="1"/>
  <c r="H8" i="1"/>
  <c r="F8" i="1"/>
  <c r="J26" i="1"/>
  <c r="H26" i="1"/>
  <c r="G26" i="1"/>
  <c r="F26" i="1"/>
  <c r="J20" i="1"/>
  <c r="F20" i="1"/>
  <c r="F14" i="1" l="1"/>
  <c r="K7" i="1"/>
  <c r="K9" i="1"/>
  <c r="K22" i="1"/>
  <c r="K14" i="1"/>
  <c r="K18" i="1"/>
  <c r="K27" i="1"/>
  <c r="K21" i="1"/>
  <c r="K17" i="1"/>
  <c r="K26" i="1"/>
  <c r="K13" i="1"/>
  <c r="K19" i="1"/>
  <c r="K8" i="1"/>
  <c r="K10" i="1"/>
  <c r="K15" i="1"/>
  <c r="K25" i="1"/>
  <c r="K16" i="1"/>
  <c r="K24" i="1"/>
  <c r="F11" i="1"/>
  <c r="K11" i="1"/>
  <c r="F12" i="1"/>
  <c r="F15" i="1"/>
  <c r="F24" i="1"/>
  <c r="K20" i="1"/>
  <c r="K12" i="1" l="1"/>
</calcChain>
</file>

<file path=xl/sharedStrings.xml><?xml version="1.0" encoding="utf-8"?>
<sst xmlns="http://schemas.openxmlformats.org/spreadsheetml/2006/main" count="416" uniqueCount="45">
  <si>
    <t>ТСО</t>
  </si>
  <si>
    <t>Электроэнергия, тыс. кВтч</t>
  </si>
  <si>
    <t>Мощность, МВт</t>
  </si>
  <si>
    <t>ВН</t>
  </si>
  <si>
    <t>СН I</t>
  </si>
  <si>
    <t>СН II</t>
  </si>
  <si>
    <t>НН</t>
  </si>
  <si>
    <t>Итого</t>
  </si>
  <si>
    <t>ПАО "Россети Волга" - "Ульяновские электрические сети"</t>
  </si>
  <si>
    <t>ПАО "Россети Юг" - "Волгоградэнерго"</t>
  </si>
  <si>
    <t>ПАО "Россети Центр и Приволжье" - "Тулаэнерго"</t>
  </si>
  <si>
    <t>ПАО "Россети Центр" - "Смоленскэнерго"</t>
  </si>
  <si>
    <t>ПАО "Россети Урала" - "Свердловскэнерго"</t>
  </si>
  <si>
    <t>ПАО "Россети Сибирь" - "Красноярскэнерго"</t>
  </si>
  <si>
    <t>ПАО "Россети Северо-Запад" - Карельский филиал</t>
  </si>
  <si>
    <t>ПАО "Россети Центр" - "Ярэнерго"</t>
  </si>
  <si>
    <t>ПАО "Россети Московский регион"</t>
  </si>
  <si>
    <t>ПАО "Россети Центр" - "Белгородэнерго"</t>
  </si>
  <si>
    <t>ПАО "Россети Центр и Приволжье" - "Рязаньэнерго"</t>
  </si>
  <si>
    <t>ПАО "Россети Центр и Приволжье" - "Калугаэнерго"</t>
  </si>
  <si>
    <t>ПАО "Россети Центр и Приволжье" - "Нижновэнерго"</t>
  </si>
  <si>
    <t>ПАО "Россети Кубань"</t>
  </si>
  <si>
    <t>ООО "Башкирэнерго"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</si>
  <si>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</si>
  <si>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</si>
  <si>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Объем фактического полезного отпуска электроэнергии и мощности ООО "МСК Энерго" 
в январе 2025 года по заключенным договорам с ТСО</t>
  </si>
  <si>
    <t>ПАО "Россети Сибирь" - "Кузбассэнерго-РЭС"</t>
  </si>
  <si>
    <t>ПАО "Федеральная сетевая компания - Россети"</t>
  </si>
  <si>
    <t>ПАО "Россети Волга" - "Самарские распределительные сети"</t>
  </si>
  <si>
    <t>ПАО "Россети Северный Кавказ" - "Ставропольэнерго"</t>
  </si>
  <si>
    <t>АО "Россети Тюмень" Сургутские Электрические Сети</t>
  </si>
  <si>
    <t>Объем фактического полезного отпуска электроэнергии и мощности ООО "МСК Энерго" 
в феврале 2025 года по заключенным договорам с ТСО</t>
  </si>
  <si>
    <t>ПАО "Россети Северо - Запада" Вологодский филиал</t>
  </si>
  <si>
    <t>Объем фактического полезного отпуска электроэнергии и мощности ООО "МСК Энерго" 
в марте 2025 года по заключенным договорам с ТСО</t>
  </si>
  <si>
    <t>Объем фактического полезного отпуска электроэнергии и мощности ООО "МСК Энерго" 
в апреле 2025 года по заключенным договорам с ТСО</t>
  </si>
  <si>
    <t>ПАО "Россети Урала" - "Пермьэнерго"</t>
  </si>
  <si>
    <t>Объем фактического полезного отпуска электроэнергии и мощности ООО "МСК Энерго" 
в мае 2025 года по заключенным договорам с ТСО</t>
  </si>
  <si>
    <t>Объем фактического полезного отпуска электроэнергии и мощности ООО "МСК Энерго" 
в июле 2025 года по заключенным договорам с ТСО</t>
  </si>
  <si>
    <t>Объем фактического полезного отпуска электроэнергии и мощности ООО "МСК Энерго" 
в июне 2025 года по заключенным договорам с ТСО</t>
  </si>
  <si>
    <t>Объем фактического полезного отпуска электроэнергии и мощности ООО "МСК Энерго" 
в августе 2025 года по заключенным договорам с ТСО</t>
  </si>
  <si>
    <t>ПАО "Россети Центр и Приволжье" - "Тулэнерго"</t>
  </si>
  <si>
    <t>Объем фактического полезного отпуска электроэнергии и мощности ООО "МСК Энерго" 
в сентябре 2025 года по заключенным договорам с ТСО</t>
  </si>
  <si>
    <t>Объем фактического полезного отпуска электроэнергии и мощности ООО "МСК Энерго" 
в октябре 2025 года по заключенным договорам с ТСО</t>
  </si>
  <si>
    <t>ПАО "Россети Юг" - "Ростовэнерго"</t>
  </si>
  <si>
    <t>Объем фактического полезного отпуска электроэнергии и мощности ООО "МСК Энерго" 
в ноябре 2025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</si>
</sst>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64" fontId="3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4" fontId="3" fillId="2" borderId="9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/>
    </xf>
    <xf numFmtId="165" fontId="3" fillId="2" borderId="9" xfId="0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62952-4CE6-42E9-8B23-6B3A45532011}">
  <dimension ref="A2:M30"/>
  <sheetViews>
    <sheetView workbookViewId="0">
      <selection activeCell="J9" sqref="J9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25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1203.8240000000001</v>
      </c>
      <c r="C7" s="5">
        <v>0</v>
      </c>
      <c r="D7" s="4">
        <v>263.33800000000002</v>
      </c>
      <c r="E7" s="5">
        <v>0</v>
      </c>
      <c r="F7" s="6">
        <f t="shared" ref="F7" si="0">B7+C7+D7+E7</f>
        <v>1467.162</v>
      </c>
      <c r="G7" s="7">
        <f>B7/744*1.34</f>
        <v>2.1681776344086021</v>
      </c>
      <c r="H7" s="5">
        <f t="shared" ref="H7" si="1">C7/720*1.13</f>
        <v>0</v>
      </c>
      <c r="I7" s="7">
        <f>D7/744*1.64</f>
        <v>0.58047623655913982</v>
      </c>
      <c r="J7" s="5">
        <f>E7/720*1.13</f>
        <v>0</v>
      </c>
      <c r="K7" s="8">
        <f t="shared" ref="K7" si="2">G7+H7+I7+J7</f>
        <v>2.7486538709677419</v>
      </c>
      <c r="M7" s="9"/>
    </row>
    <row r="8" spans="1:13" x14ac:dyDescent="0.25">
      <c r="A8" s="3" t="s">
        <v>9</v>
      </c>
      <c r="B8" s="4">
        <v>836.37400000000002</v>
      </c>
      <c r="C8" s="5">
        <v>0</v>
      </c>
      <c r="D8" s="5">
        <v>0</v>
      </c>
      <c r="E8" s="5">
        <v>0</v>
      </c>
      <c r="F8" s="6">
        <f t="shared" ref="F8:F25" si="3">B8+C8+D8+E8</f>
        <v>836.37400000000002</v>
      </c>
      <c r="G8" s="7">
        <f>B8/740*1.58</f>
        <v>1.7857715135135137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ref="K8:K25" si="4">G8+H8+I8+J8</f>
        <v>1.7857715135135137</v>
      </c>
      <c r="M8" s="9"/>
    </row>
    <row r="9" spans="1:13" x14ac:dyDescent="0.25">
      <c r="A9" s="3" t="s">
        <v>32</v>
      </c>
      <c r="B9" s="5">
        <v>0</v>
      </c>
      <c r="C9" s="5">
        <v>0</v>
      </c>
      <c r="D9" s="4">
        <f>2546.676+562.104</f>
        <v>3108.7799999999997</v>
      </c>
      <c r="E9" s="4">
        <v>54.6</v>
      </c>
      <c r="F9" s="6">
        <f t="shared" si="3"/>
        <v>3163.3799999999997</v>
      </c>
      <c r="G9" s="5">
        <f>B9/720*1.13</f>
        <v>0</v>
      </c>
      <c r="H9" s="5">
        <f>C9/720*1.13</f>
        <v>0</v>
      </c>
      <c r="I9" s="7">
        <f>3.424+3.424*0.2</f>
        <v>4.1088000000000005</v>
      </c>
      <c r="J9" s="7">
        <v>7.3999999999999996E-2</v>
      </c>
      <c r="K9" s="8">
        <f t="shared" si="4"/>
        <v>4.1828000000000003</v>
      </c>
      <c r="M9" s="9"/>
    </row>
    <row r="10" spans="1:13" x14ac:dyDescent="0.25">
      <c r="A10" s="3" t="s">
        <v>19</v>
      </c>
      <c r="B10" s="4">
        <v>1764.048</v>
      </c>
      <c r="C10" s="5">
        <v>0</v>
      </c>
      <c r="D10" s="10">
        <v>0</v>
      </c>
      <c r="E10" s="10">
        <v>0</v>
      </c>
      <c r="F10" s="6">
        <f t="shared" si="3"/>
        <v>1764.048</v>
      </c>
      <c r="G10" s="7">
        <f>B10/720*1.25</f>
        <v>3.0625833333333334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4"/>
        <v>3.0625833333333334</v>
      </c>
      <c r="M10" s="9"/>
    </row>
    <row r="11" spans="1:13" x14ac:dyDescent="0.25">
      <c r="A11" s="3" t="s">
        <v>26</v>
      </c>
      <c r="B11" s="4">
        <f>7973.528+1219.113</f>
        <v>9192.6409999999996</v>
      </c>
      <c r="C11" s="4">
        <v>2054.578</v>
      </c>
      <c r="D11" s="4">
        <f>1897.977+401.287</f>
        <v>2299.2640000000001</v>
      </c>
      <c r="E11" s="7">
        <f>36.241+24.64</f>
        <v>60.881</v>
      </c>
      <c r="F11" s="6">
        <f t="shared" si="3"/>
        <v>13607.364</v>
      </c>
      <c r="G11" s="7">
        <f>B11/744*1.31</f>
        <v>16.185967352150538</v>
      </c>
      <c r="H11" s="7">
        <v>3.0379999999999998</v>
      </c>
      <c r="I11" s="7">
        <f>D11/744*1.21</f>
        <v>3.7393944086021507</v>
      </c>
      <c r="J11" s="7">
        <f>E11/744*1.3</f>
        <v>0.10637809139784946</v>
      </c>
      <c r="K11" s="8">
        <f t="shared" si="4"/>
        <v>23.069739852150541</v>
      </c>
      <c r="M11" s="9"/>
    </row>
    <row r="12" spans="1:13" x14ac:dyDescent="0.25">
      <c r="A12" s="3" t="s">
        <v>21</v>
      </c>
      <c r="B12" s="10">
        <v>0</v>
      </c>
      <c r="C12" s="4">
        <f>472.112+383.586</f>
        <v>855.69800000000009</v>
      </c>
      <c r="D12" s="4">
        <f>169.421+34.98</f>
        <v>204.40099999999998</v>
      </c>
      <c r="E12" s="10">
        <v>0</v>
      </c>
      <c r="F12" s="6">
        <f t="shared" si="3"/>
        <v>1060.0990000000002</v>
      </c>
      <c r="G12" s="5">
        <f>B12/720*1.19</f>
        <v>0</v>
      </c>
      <c r="H12" s="7">
        <f>C12/744*1.29</f>
        <v>1.4836699193548388</v>
      </c>
      <c r="I12" s="7">
        <f>D12/744*1.25</f>
        <v>0.34341565860215051</v>
      </c>
      <c r="J12" s="5">
        <f>E12/720*1.25</f>
        <v>0</v>
      </c>
      <c r="K12" s="8">
        <f t="shared" si="4"/>
        <v>1.8270855779569892</v>
      </c>
      <c r="M12" s="9"/>
    </row>
    <row r="13" spans="1:13" x14ac:dyDescent="0.25">
      <c r="A13" s="3" t="s">
        <v>13</v>
      </c>
      <c r="B13" s="4">
        <v>2566.2170000000001</v>
      </c>
      <c r="C13" s="4">
        <v>578.23900000000003</v>
      </c>
      <c r="D13" s="4">
        <v>18.321000000000002</v>
      </c>
      <c r="E13" s="5">
        <v>0</v>
      </c>
      <c r="F13" s="6">
        <f t="shared" si="3"/>
        <v>3162.777</v>
      </c>
      <c r="G13" s="7">
        <v>4.4470000000000001</v>
      </c>
      <c r="H13" s="7">
        <v>0.84399999999999997</v>
      </c>
      <c r="I13" s="7">
        <f>D13/744*1.1</f>
        <v>2.7087500000000004E-2</v>
      </c>
      <c r="J13" s="5">
        <f>E13/720*1.13</f>
        <v>0</v>
      </c>
      <c r="K13" s="8">
        <f t="shared" si="4"/>
        <v>5.3180875000000007</v>
      </c>
      <c r="M13" s="9"/>
    </row>
    <row r="14" spans="1:13" x14ac:dyDescent="0.25">
      <c r="A14" s="3" t="s">
        <v>16</v>
      </c>
      <c r="B14" s="4">
        <f>576.057+1327.784</f>
        <v>1903.8410000000001</v>
      </c>
      <c r="C14" s="5">
        <v>0</v>
      </c>
      <c r="D14" s="4">
        <f>629.447+332.803+1363.466+1300.284</f>
        <v>3626</v>
      </c>
      <c r="E14" s="7">
        <v>23.577999999999999</v>
      </c>
      <c r="F14" s="6">
        <f t="shared" si="3"/>
        <v>5553.4190000000008</v>
      </c>
      <c r="G14" s="7">
        <f>B14/744*1.44</f>
        <v>3.684853548387097</v>
      </c>
      <c r="H14" s="5">
        <f>C14/720*1.13</f>
        <v>0</v>
      </c>
      <c r="I14" s="7">
        <f>D14/744*1.36</f>
        <v>6.6281720430107534</v>
      </c>
      <c r="J14" s="7">
        <f>E14/744*1.2</f>
        <v>3.8029032258064512E-2</v>
      </c>
      <c r="K14" s="8">
        <f t="shared" si="4"/>
        <v>10.351054623655914</v>
      </c>
      <c r="M14" s="9"/>
    </row>
    <row r="15" spans="1:13" x14ac:dyDescent="0.25">
      <c r="A15" s="11" t="s">
        <v>27</v>
      </c>
      <c r="B15" s="12">
        <f>1518.107+326.616</f>
        <v>1844.723</v>
      </c>
      <c r="C15" s="5">
        <v>0</v>
      </c>
      <c r="D15" s="5">
        <v>0</v>
      </c>
      <c r="E15" s="5">
        <v>0</v>
      </c>
      <c r="F15" s="6">
        <f t="shared" si="3"/>
        <v>1844.723</v>
      </c>
      <c r="G15" s="7">
        <v>3.3370000000000002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4"/>
        <v>3.3370000000000002</v>
      </c>
      <c r="M15" s="9"/>
    </row>
    <row r="16" spans="1:13" x14ac:dyDescent="0.25">
      <c r="A16" s="3" t="s">
        <v>20</v>
      </c>
      <c r="B16" s="4">
        <v>371.51600000000002</v>
      </c>
      <c r="C16" s="5">
        <v>0</v>
      </c>
      <c r="D16" s="4">
        <f>266.85+246.008</f>
        <v>512.85800000000006</v>
      </c>
      <c r="E16" s="4">
        <f>184.782+92.56</f>
        <v>277.34199999999998</v>
      </c>
      <c r="F16" s="6">
        <f t="shared" si="3"/>
        <v>1161.7159999999999</v>
      </c>
      <c r="G16" s="7">
        <f>B16/744*1.21</f>
        <v>0.60421284946236564</v>
      </c>
      <c r="H16" s="5">
        <f>C16/720*1.33</f>
        <v>0</v>
      </c>
      <c r="I16" s="7">
        <f>D16/744*1.24</f>
        <v>0.85476333333333343</v>
      </c>
      <c r="J16" s="7">
        <f>E16/744*1.25</f>
        <v>0.46596438172043009</v>
      </c>
      <c r="K16" s="8">
        <f t="shared" si="4"/>
        <v>1.9249405645161293</v>
      </c>
      <c r="M16" s="9"/>
    </row>
    <row r="17" spans="1:13" x14ac:dyDescent="0.25">
      <c r="A17" s="13" t="s">
        <v>22</v>
      </c>
      <c r="B17" s="4">
        <v>268.66500000000002</v>
      </c>
      <c r="C17" s="10">
        <v>0</v>
      </c>
      <c r="D17" s="10">
        <v>0</v>
      </c>
      <c r="E17" s="10">
        <v>0</v>
      </c>
      <c r="F17" s="6">
        <f t="shared" si="3"/>
        <v>268.66500000000002</v>
      </c>
      <c r="G17" s="7">
        <f>B17/744*1.31</f>
        <v>0.47305262096774198</v>
      </c>
      <c r="H17" s="5">
        <f t="shared" ref="H17:J17" si="5">C17/720*1.19</f>
        <v>0</v>
      </c>
      <c r="I17" s="5">
        <f t="shared" si="5"/>
        <v>0</v>
      </c>
      <c r="J17" s="5">
        <f t="shared" si="5"/>
        <v>0</v>
      </c>
      <c r="K17" s="8">
        <f t="shared" si="4"/>
        <v>0.47305262096774198</v>
      </c>
      <c r="M17" s="9"/>
    </row>
    <row r="18" spans="1:13" x14ac:dyDescent="0.25">
      <c r="A18" s="3" t="s">
        <v>14</v>
      </c>
      <c r="B18" s="5">
        <v>0</v>
      </c>
      <c r="C18" s="5">
        <v>0</v>
      </c>
      <c r="D18" s="4">
        <v>463.25599999999997</v>
      </c>
      <c r="E18" s="5">
        <v>0</v>
      </c>
      <c r="F18" s="6">
        <f t="shared" si="3"/>
        <v>463.25599999999997</v>
      </c>
      <c r="G18" s="5">
        <f>B18/720*1.13</f>
        <v>0</v>
      </c>
      <c r="H18" s="5">
        <f>C18/720*1.13</f>
        <v>0</v>
      </c>
      <c r="I18" s="7">
        <f>D18/744*1.44</f>
        <v>0.89662451612903227</v>
      </c>
      <c r="J18" s="5">
        <f>E18/720*1.13</f>
        <v>0</v>
      </c>
      <c r="K18" s="8">
        <f t="shared" si="4"/>
        <v>0.89662451612903227</v>
      </c>
      <c r="M18" s="9"/>
    </row>
    <row r="19" spans="1:13" x14ac:dyDescent="0.25">
      <c r="A19" s="3" t="s">
        <v>18</v>
      </c>
      <c r="B19" s="5">
        <v>0</v>
      </c>
      <c r="C19" s="7">
        <v>354.66899999999998</v>
      </c>
      <c r="D19" s="10">
        <v>0</v>
      </c>
      <c r="E19" s="10">
        <v>0</v>
      </c>
      <c r="F19" s="6">
        <f t="shared" si="3"/>
        <v>354.66899999999998</v>
      </c>
      <c r="G19" s="5">
        <f>B19/720*1.19</f>
        <v>0</v>
      </c>
      <c r="H19" s="7">
        <f>C19/744*1.35</f>
        <v>0.64355262096774202</v>
      </c>
      <c r="I19" s="5">
        <f>D19/720*1.25</f>
        <v>0</v>
      </c>
      <c r="J19" s="5">
        <f>E19/720*1.25</f>
        <v>0</v>
      </c>
      <c r="K19" s="8">
        <f t="shared" si="4"/>
        <v>0.64355262096774202</v>
      </c>
      <c r="M19" s="9"/>
    </row>
    <row r="20" spans="1:13" x14ac:dyDescent="0.25">
      <c r="A20" s="3" t="s">
        <v>28</v>
      </c>
      <c r="B20" s="4">
        <f>2797.584+87.109</f>
        <v>2884.6929999999998</v>
      </c>
      <c r="C20" s="7">
        <v>282.78300000000002</v>
      </c>
      <c r="D20" s="4">
        <v>1462.2950000000001</v>
      </c>
      <c r="E20" s="5">
        <v>0</v>
      </c>
      <c r="F20" s="6">
        <f t="shared" si="3"/>
        <v>4629.7709999999997</v>
      </c>
      <c r="G20" s="7">
        <f>B20/744*1.2</f>
        <v>4.6527306451612898</v>
      </c>
      <c r="H20" s="7">
        <f>C20/744*1.23</f>
        <v>0.46750415322580646</v>
      </c>
      <c r="I20" s="7">
        <f>D20/744*1.4</f>
        <v>2.7516303763440861</v>
      </c>
      <c r="J20" s="5">
        <f>E20/720*1.13</f>
        <v>0</v>
      </c>
      <c r="K20" s="8">
        <f t="shared" si="4"/>
        <v>7.8718651747311821</v>
      </c>
      <c r="M20" s="9"/>
    </row>
    <row r="21" spans="1:13" x14ac:dyDescent="0.25">
      <c r="A21" s="3" t="s">
        <v>12</v>
      </c>
      <c r="B21" s="5">
        <v>0</v>
      </c>
      <c r="C21" s="5">
        <v>0</v>
      </c>
      <c r="D21" s="4">
        <v>1514.635</v>
      </c>
      <c r="E21" s="5">
        <v>0</v>
      </c>
      <c r="F21" s="6">
        <f t="shared" si="3"/>
        <v>1514.635</v>
      </c>
      <c r="G21" s="5">
        <f>B21/720*1.13</f>
        <v>0</v>
      </c>
      <c r="H21" s="5">
        <f>C21/720*1.23</f>
        <v>0</v>
      </c>
      <c r="I21" s="7">
        <f>D21/744*1.29</f>
        <v>2.6261816532258062</v>
      </c>
      <c r="J21" s="5">
        <f>E21/720*1.13</f>
        <v>0</v>
      </c>
      <c r="K21" s="8">
        <f t="shared" si="4"/>
        <v>2.6261816532258062</v>
      </c>
      <c r="M21" s="9"/>
    </row>
    <row r="22" spans="1:13" x14ac:dyDescent="0.25">
      <c r="A22" s="3" t="s">
        <v>11</v>
      </c>
      <c r="B22" s="4">
        <v>925.79200000000003</v>
      </c>
      <c r="C22" s="5">
        <v>0</v>
      </c>
      <c r="D22" s="5">
        <v>0</v>
      </c>
      <c r="E22" s="5">
        <v>0</v>
      </c>
      <c r="F22" s="6">
        <f t="shared" si="3"/>
        <v>925.79200000000003</v>
      </c>
      <c r="G22" s="7">
        <f>B22/744*1.29</f>
        <v>1.6052038709677419</v>
      </c>
      <c r="H22" s="5">
        <f>C22/720*1.13</f>
        <v>0</v>
      </c>
      <c r="I22" s="5">
        <f>D22/720*1.13</f>
        <v>0</v>
      </c>
      <c r="J22" s="5">
        <f>E22/720*1.13</f>
        <v>0</v>
      </c>
      <c r="K22" s="8">
        <f t="shared" si="4"/>
        <v>1.6052038709677419</v>
      </c>
      <c r="M22" s="9"/>
    </row>
    <row r="23" spans="1:13" x14ac:dyDescent="0.25">
      <c r="A23" s="3" t="s">
        <v>29</v>
      </c>
      <c r="B23" s="5">
        <v>0</v>
      </c>
      <c r="C23" s="5">
        <v>0</v>
      </c>
      <c r="D23" s="4">
        <v>32.095999999999997</v>
      </c>
      <c r="E23" s="5">
        <v>0</v>
      </c>
      <c r="F23" s="6">
        <f t="shared" si="3"/>
        <v>32.095999999999997</v>
      </c>
      <c r="G23" s="5">
        <f>B23/720*1.13</f>
        <v>0</v>
      </c>
      <c r="H23" s="5">
        <f>C23/720*1.23</f>
        <v>0</v>
      </c>
      <c r="I23" s="7">
        <f>D23/744*1.39</f>
        <v>5.996430107526881E-2</v>
      </c>
      <c r="J23" s="5">
        <f>E23/720*1.13</f>
        <v>0</v>
      </c>
      <c r="K23" s="8">
        <f t="shared" si="4"/>
        <v>5.996430107526881E-2</v>
      </c>
      <c r="M23" s="9"/>
    </row>
    <row r="24" spans="1:13" x14ac:dyDescent="0.25">
      <c r="A24" s="3" t="s">
        <v>10</v>
      </c>
      <c r="B24" s="4">
        <f>256.616+2.08</f>
        <v>258.69599999999997</v>
      </c>
      <c r="C24" s="5">
        <v>0</v>
      </c>
      <c r="D24" s="4">
        <f>270.361+13.072</f>
        <v>283.43299999999999</v>
      </c>
      <c r="E24" s="4">
        <f>79.767+8.269</f>
        <v>88.036000000000001</v>
      </c>
      <c r="F24" s="6">
        <f t="shared" si="3"/>
        <v>630.16499999999996</v>
      </c>
      <c r="G24" s="7">
        <f>B24/744*1.19</f>
        <v>0.41377451612903221</v>
      </c>
      <c r="H24" s="5">
        <f>C24/720*1.13</f>
        <v>0</v>
      </c>
      <c r="I24" s="7">
        <f>D24/744*1.24</f>
        <v>0.47238833333333335</v>
      </c>
      <c r="J24" s="7">
        <f>E24/744*1.29</f>
        <v>0.15264306451612902</v>
      </c>
      <c r="K24" s="8">
        <f t="shared" si="4"/>
        <v>1.0388059139784946</v>
      </c>
      <c r="M24" s="9"/>
    </row>
    <row r="25" spans="1:13" x14ac:dyDescent="0.25">
      <c r="A25" s="3" t="s">
        <v>30</v>
      </c>
      <c r="B25" s="4">
        <v>119.788</v>
      </c>
      <c r="C25" s="5">
        <v>0</v>
      </c>
      <c r="D25" s="4">
        <v>1266.7180000000001</v>
      </c>
      <c r="E25" s="4">
        <v>885.54100000000005</v>
      </c>
      <c r="F25" s="6">
        <f t="shared" si="3"/>
        <v>2272.047</v>
      </c>
      <c r="G25" s="7">
        <f>B25/744*1.22</f>
        <v>0.19642655913978493</v>
      </c>
      <c r="H25" s="5">
        <f>C25/720*1.13</f>
        <v>0</v>
      </c>
      <c r="I25" s="7">
        <f>D25/744*1.3</f>
        <v>2.2133513440860217</v>
      </c>
      <c r="J25" s="7">
        <f>E25/744*1.23</f>
        <v>1.4639992338709678</v>
      </c>
      <c r="K25" s="8">
        <f t="shared" si="4"/>
        <v>3.8737771370967744</v>
      </c>
      <c r="M25" s="9"/>
    </row>
    <row r="26" spans="1:13" x14ac:dyDescent="0.25">
      <c r="A26" s="3" t="s">
        <v>8</v>
      </c>
      <c r="B26" s="5">
        <v>0</v>
      </c>
      <c r="C26" s="5">
        <v>0</v>
      </c>
      <c r="D26" s="4">
        <v>148.93299999999999</v>
      </c>
      <c r="E26" s="5">
        <v>0</v>
      </c>
      <c r="F26" s="6">
        <f t="shared" ref="F26:F27" si="6">B26+C26+D26+E26</f>
        <v>148.93299999999999</v>
      </c>
      <c r="G26" s="5">
        <f>B26/720*1.114</f>
        <v>0</v>
      </c>
      <c r="H26" s="5">
        <f t="shared" ref="H26" si="7">C26/720*1.13</f>
        <v>0</v>
      </c>
      <c r="I26" s="7">
        <f>D26/744*1.22</f>
        <v>0.24421809139784947</v>
      </c>
      <c r="J26" s="5">
        <f>E26/720*1.19</f>
        <v>0</v>
      </c>
      <c r="K26" s="8">
        <f t="shared" ref="K26:K27" si="8">G26+H26+I26+J26</f>
        <v>0.24421809139784947</v>
      </c>
      <c r="M26" s="9"/>
    </row>
    <row r="27" spans="1:13" x14ac:dyDescent="0.25">
      <c r="A27" s="3" t="s">
        <v>15</v>
      </c>
      <c r="B27" s="5">
        <v>0</v>
      </c>
      <c r="C27" s="5">
        <v>0</v>
      </c>
      <c r="D27" s="4">
        <v>162.65600000000001</v>
      </c>
      <c r="E27" s="5">
        <v>0</v>
      </c>
      <c r="F27" s="6">
        <f t="shared" si="6"/>
        <v>162.65600000000001</v>
      </c>
      <c r="G27" s="5">
        <f t="shared" ref="G27:H27" si="9">B27/720*1.13</f>
        <v>0</v>
      </c>
      <c r="H27" s="5">
        <f t="shared" si="9"/>
        <v>0</v>
      </c>
      <c r="I27" s="7">
        <f>D27/744*1.28</f>
        <v>0.27983827956989249</v>
      </c>
      <c r="J27" s="5">
        <f>E27/720*1.13</f>
        <v>0</v>
      </c>
      <c r="K27" s="8">
        <f t="shared" si="8"/>
        <v>0.27983827956989249</v>
      </c>
      <c r="M27" s="9"/>
    </row>
    <row r="28" spans="1:13" ht="15.75" thickBot="1" x14ac:dyDescent="0.3">
      <c r="A28" s="14" t="s">
        <v>23</v>
      </c>
      <c r="B28" s="15">
        <f t="shared" ref="B28:K28" si="10">SUM(B7:B27)</f>
        <v>24140.817999999999</v>
      </c>
      <c r="C28" s="15">
        <f t="shared" si="10"/>
        <v>4125.9669999999996</v>
      </c>
      <c r="D28" s="15">
        <f t="shared" si="10"/>
        <v>15366.984000000002</v>
      </c>
      <c r="E28" s="15">
        <f t="shared" si="10"/>
        <v>1389.9780000000001</v>
      </c>
      <c r="F28" s="15">
        <f t="shared" si="10"/>
        <v>45023.747000000003</v>
      </c>
      <c r="G28" s="15">
        <f t="shared" si="10"/>
        <v>42.616754443621041</v>
      </c>
      <c r="H28" s="15">
        <f t="shared" si="10"/>
        <v>6.4767266935483869</v>
      </c>
      <c r="I28" s="15">
        <f t="shared" si="10"/>
        <v>25.826306075268825</v>
      </c>
      <c r="J28" s="15">
        <f t="shared" si="10"/>
        <v>2.3010138037634409</v>
      </c>
      <c r="K28" s="15">
        <f t="shared" si="10"/>
        <v>77.220801016201676</v>
      </c>
    </row>
    <row r="29" spans="1:13" x14ac:dyDescent="0.25">
      <c r="A29" s="30" t="s">
        <v>24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3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</row>
  </sheetData>
  <mergeCells count="5">
    <mergeCell ref="A2:K3"/>
    <mergeCell ref="A5:A6"/>
    <mergeCell ref="B5:F5"/>
    <mergeCell ref="G5:K5"/>
    <mergeCell ref="A29:K3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A1859-D9A7-449C-8381-68F04F14C0CC}">
  <dimension ref="A2:R31"/>
  <sheetViews>
    <sheetView workbookViewId="0">
      <selection activeCell="D16" sqref="D16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5" x14ac:dyDescent="0.25">
      <c r="A2" s="24" t="s">
        <v>42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5" ht="15.75" thickBot="1" x14ac:dyDescent="0.3"/>
    <row r="5" spans="1:15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5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5" x14ac:dyDescent="0.25">
      <c r="A7" s="3" t="s">
        <v>17</v>
      </c>
      <c r="B7" s="4">
        <v>975.072</v>
      </c>
      <c r="C7" s="5">
        <v>0</v>
      </c>
      <c r="D7" s="4">
        <v>984.52499999999998</v>
      </c>
      <c r="E7" s="5">
        <v>0</v>
      </c>
      <c r="F7" s="6">
        <f t="shared" ref="F7:F28" si="0">B7+C7+D7+E7</f>
        <v>1959.597</v>
      </c>
      <c r="G7" s="7">
        <v>2.3721509677419355</v>
      </c>
      <c r="H7" s="5">
        <v>0</v>
      </c>
      <c r="I7" s="7">
        <v>1.786436491935484</v>
      </c>
      <c r="J7" s="5">
        <v>0</v>
      </c>
      <c r="K7" s="8">
        <f t="shared" ref="K7:K28" si="1">G7+H7+I7+J7</f>
        <v>4.1585874596774195</v>
      </c>
      <c r="M7" s="9"/>
    </row>
    <row r="8" spans="1:15" x14ac:dyDescent="0.25">
      <c r="A8" s="3" t="s">
        <v>9</v>
      </c>
      <c r="B8" s="4">
        <v>802.09799999999996</v>
      </c>
      <c r="C8" s="5">
        <v>0</v>
      </c>
      <c r="D8" s="5">
        <v>0</v>
      </c>
      <c r="E8" s="5">
        <v>0</v>
      </c>
      <c r="F8" s="6">
        <f t="shared" si="0"/>
        <v>802.09799999999996</v>
      </c>
      <c r="G8" s="7">
        <v>1.5093241935483868</v>
      </c>
      <c r="H8" s="5">
        <v>0</v>
      </c>
      <c r="I8" s="5">
        <v>0</v>
      </c>
      <c r="J8" s="5">
        <v>0</v>
      </c>
      <c r="K8" s="8">
        <f t="shared" si="1"/>
        <v>1.5093241935483868</v>
      </c>
      <c r="M8" s="9"/>
    </row>
    <row r="9" spans="1:15" x14ac:dyDescent="0.25">
      <c r="A9" s="3" t="s">
        <v>32</v>
      </c>
      <c r="B9" s="7">
        <v>136.678</v>
      </c>
      <c r="C9" s="5">
        <v>0</v>
      </c>
      <c r="D9" s="4">
        <v>3101.8329999999996</v>
      </c>
      <c r="E9" s="4">
        <v>51.1</v>
      </c>
      <c r="F9" s="6">
        <f t="shared" si="0"/>
        <v>3289.6109999999994</v>
      </c>
      <c r="G9" s="7">
        <v>0.25718978494623657</v>
      </c>
      <c r="H9" s="5">
        <v>0</v>
      </c>
      <c r="I9" s="7">
        <v>5.8367825268817199</v>
      </c>
      <c r="J9" s="7">
        <v>0.10445</v>
      </c>
      <c r="K9" s="8">
        <f t="shared" si="1"/>
        <v>6.1984223118279562</v>
      </c>
      <c r="M9" s="9"/>
    </row>
    <row r="10" spans="1:15" x14ac:dyDescent="0.25">
      <c r="A10" s="3" t="s">
        <v>19</v>
      </c>
      <c r="B10" s="4">
        <v>2153.0280000000002</v>
      </c>
      <c r="C10" s="5">
        <v>0</v>
      </c>
      <c r="D10" s="10">
        <v>0</v>
      </c>
      <c r="E10" s="10">
        <v>0</v>
      </c>
      <c r="F10" s="6">
        <f t="shared" si="0"/>
        <v>2153.0280000000002</v>
      </c>
      <c r="G10" s="7">
        <v>3.6173185483870975</v>
      </c>
      <c r="H10" s="5">
        <v>0</v>
      </c>
      <c r="I10" s="5">
        <v>0</v>
      </c>
      <c r="J10" s="5">
        <v>0</v>
      </c>
      <c r="K10" s="8">
        <f t="shared" si="1"/>
        <v>3.6173185483870975</v>
      </c>
      <c r="M10" s="9"/>
    </row>
    <row r="11" spans="1:15" x14ac:dyDescent="0.25">
      <c r="A11" s="3" t="s">
        <v>26</v>
      </c>
      <c r="B11" s="4">
        <v>9474.746000000001</v>
      </c>
      <c r="C11" s="4">
        <v>1634.432</v>
      </c>
      <c r="D11" s="4">
        <v>2358.4650000000001</v>
      </c>
      <c r="E11" s="7">
        <v>33.747</v>
      </c>
      <c r="F11" s="6">
        <f t="shared" si="0"/>
        <v>13501.390000000001</v>
      </c>
      <c r="G11" s="7">
        <v>16.555335752688173</v>
      </c>
      <c r="H11" s="7">
        <v>2.9689999999999999</v>
      </c>
      <c r="I11" s="7">
        <v>4.1209737903225809</v>
      </c>
      <c r="J11" s="7">
        <v>5.8966532258064523E-2</v>
      </c>
      <c r="K11" s="8">
        <f t="shared" si="1"/>
        <v>23.704276075268819</v>
      </c>
      <c r="M11" s="9"/>
    </row>
    <row r="12" spans="1:15" x14ac:dyDescent="0.25">
      <c r="A12" s="3" t="s">
        <v>21</v>
      </c>
      <c r="B12" s="10">
        <v>0</v>
      </c>
      <c r="C12" s="4">
        <v>1112.8910000000001</v>
      </c>
      <c r="D12" s="4">
        <v>4879.9319999999998</v>
      </c>
      <c r="E12" s="10">
        <v>0</v>
      </c>
      <c r="F12" s="6">
        <f t="shared" si="0"/>
        <v>5992.8230000000003</v>
      </c>
      <c r="G12" s="5">
        <v>0</v>
      </c>
      <c r="H12" s="7">
        <v>1.8847347580645162</v>
      </c>
      <c r="I12" s="7">
        <v>9.1826677419354823</v>
      </c>
      <c r="J12" s="5">
        <v>0</v>
      </c>
      <c r="K12" s="8">
        <f t="shared" si="1"/>
        <v>11.067402499999998</v>
      </c>
      <c r="M12" s="9"/>
    </row>
    <row r="13" spans="1:15" x14ac:dyDescent="0.25">
      <c r="A13" s="3" t="s">
        <v>13</v>
      </c>
      <c r="B13" s="4">
        <v>5087.2690000000002</v>
      </c>
      <c r="C13" s="4">
        <v>852.22900000000004</v>
      </c>
      <c r="D13" s="4">
        <v>68.13</v>
      </c>
      <c r="E13" s="5">
        <v>0</v>
      </c>
      <c r="F13" s="6">
        <f t="shared" si="0"/>
        <v>6007.6280000000006</v>
      </c>
      <c r="G13" s="7">
        <v>8.3420271236559138</v>
      </c>
      <c r="H13" s="7">
        <v>1.222</v>
      </c>
      <c r="I13" s="7">
        <v>0.11904435483870968</v>
      </c>
      <c r="J13" s="5">
        <v>0</v>
      </c>
      <c r="K13" s="8">
        <f t="shared" si="1"/>
        <v>9.6830714784946235</v>
      </c>
      <c r="M13" s="9"/>
      <c r="O13" s="9"/>
    </row>
    <row r="14" spans="1:15" x14ac:dyDescent="0.25">
      <c r="A14" s="3" t="s">
        <v>16</v>
      </c>
      <c r="B14" s="4">
        <v>2366.6280000000002</v>
      </c>
      <c r="C14" s="5">
        <v>0</v>
      </c>
      <c r="D14" s="4">
        <v>3749.2539999999999</v>
      </c>
      <c r="E14" s="7">
        <v>36.695</v>
      </c>
      <c r="F14" s="6">
        <f t="shared" si="0"/>
        <v>6152.5769999999993</v>
      </c>
      <c r="G14" s="7">
        <v>3.721713387096774</v>
      </c>
      <c r="H14" s="5">
        <v>0</v>
      </c>
      <c r="I14" s="7">
        <v>6.7526886559139792</v>
      </c>
      <c r="J14" s="7">
        <v>6.8556518817204301E-2</v>
      </c>
      <c r="K14" s="8">
        <f t="shared" si="1"/>
        <v>10.542958561827957</v>
      </c>
      <c r="M14" s="17"/>
    </row>
    <row r="15" spans="1:15" x14ac:dyDescent="0.25">
      <c r="A15" s="11" t="s">
        <v>27</v>
      </c>
      <c r="B15" s="12">
        <v>3110.5949999999998</v>
      </c>
      <c r="C15" s="5">
        <v>0</v>
      </c>
      <c r="D15" s="5">
        <v>0</v>
      </c>
      <c r="E15" s="5">
        <v>0</v>
      </c>
      <c r="F15" s="6">
        <f t="shared" si="0"/>
        <v>3110.5949999999998</v>
      </c>
      <c r="G15" s="7">
        <v>4.7699999999999996</v>
      </c>
      <c r="H15" s="5">
        <v>0</v>
      </c>
      <c r="I15" s="5">
        <v>0</v>
      </c>
      <c r="J15" s="5">
        <v>0</v>
      </c>
      <c r="K15" s="8">
        <f t="shared" si="1"/>
        <v>4.7699999999999996</v>
      </c>
      <c r="M15" s="9"/>
    </row>
    <row r="16" spans="1:15" x14ac:dyDescent="0.25">
      <c r="A16" s="3" t="s">
        <v>20</v>
      </c>
      <c r="B16" s="4">
        <v>370.72399999999999</v>
      </c>
      <c r="C16" s="5">
        <v>0</v>
      </c>
      <c r="D16" s="4">
        <v>2.5649999999999999</v>
      </c>
      <c r="E16" s="5">
        <v>0</v>
      </c>
      <c r="F16" s="6">
        <f t="shared" si="0"/>
        <v>373.28899999999999</v>
      </c>
      <c r="G16" s="7">
        <v>0.64777043010752688</v>
      </c>
      <c r="H16" s="5">
        <v>0</v>
      </c>
      <c r="I16" s="7">
        <v>4.4818548387096776E-3</v>
      </c>
      <c r="J16" s="5">
        <v>0</v>
      </c>
      <c r="K16" s="8">
        <f t="shared" si="1"/>
        <v>0.65225228494623655</v>
      </c>
      <c r="M16" s="9"/>
    </row>
    <row r="17" spans="1:18" x14ac:dyDescent="0.25">
      <c r="A17" s="3" t="s">
        <v>35</v>
      </c>
      <c r="B17" s="5">
        <v>0</v>
      </c>
      <c r="C17" s="5">
        <v>0</v>
      </c>
      <c r="D17" s="4">
        <v>512.34400000000005</v>
      </c>
      <c r="E17" s="5">
        <v>0</v>
      </c>
      <c r="F17" s="6">
        <f t="shared" si="0"/>
        <v>512.34400000000005</v>
      </c>
      <c r="G17" s="5">
        <v>0</v>
      </c>
      <c r="H17" s="5">
        <v>0</v>
      </c>
      <c r="I17" s="7">
        <v>0.80800000000000005</v>
      </c>
      <c r="J17" s="5">
        <v>0</v>
      </c>
      <c r="K17" s="8">
        <f t="shared" si="1"/>
        <v>0.80800000000000005</v>
      </c>
      <c r="M17" s="9"/>
    </row>
    <row r="18" spans="1:18" x14ac:dyDescent="0.25">
      <c r="A18" s="13" t="s">
        <v>22</v>
      </c>
      <c r="B18" s="4">
        <v>208.256</v>
      </c>
      <c r="C18" s="10">
        <v>0</v>
      </c>
      <c r="D18" s="4">
        <v>199.642</v>
      </c>
      <c r="E18" s="10">
        <v>0</v>
      </c>
      <c r="F18" s="6">
        <f t="shared" si="0"/>
        <v>407.89800000000002</v>
      </c>
      <c r="G18" s="7">
        <v>0.39187956989247313</v>
      </c>
      <c r="H18" s="5">
        <v>0</v>
      </c>
      <c r="I18" s="7">
        <v>0.37</v>
      </c>
      <c r="J18" s="5">
        <v>0</v>
      </c>
      <c r="K18" s="8">
        <f t="shared" si="1"/>
        <v>0.76187956989247319</v>
      </c>
      <c r="M18" s="9"/>
    </row>
    <row r="19" spans="1:18" x14ac:dyDescent="0.25">
      <c r="A19" s="3" t="s">
        <v>14</v>
      </c>
      <c r="B19" s="5">
        <v>0</v>
      </c>
      <c r="C19" s="5">
        <v>0</v>
      </c>
      <c r="D19" s="4">
        <v>397.71100000000001</v>
      </c>
      <c r="E19" s="5">
        <v>0</v>
      </c>
      <c r="F19" s="6">
        <f t="shared" si="0"/>
        <v>397.71100000000001</v>
      </c>
      <c r="G19" s="5">
        <v>0</v>
      </c>
      <c r="H19" s="5">
        <v>0</v>
      </c>
      <c r="I19" s="7">
        <v>0.81787342741935476</v>
      </c>
      <c r="J19" s="5">
        <v>0</v>
      </c>
      <c r="K19" s="8">
        <f t="shared" si="1"/>
        <v>0.81787342741935476</v>
      </c>
      <c r="M19" s="9"/>
    </row>
    <row r="20" spans="1:18" x14ac:dyDescent="0.25">
      <c r="A20" s="3" t="s">
        <v>18</v>
      </c>
      <c r="B20" s="5">
        <v>0</v>
      </c>
      <c r="C20" s="7">
        <v>534.65700000000004</v>
      </c>
      <c r="D20" s="10">
        <v>0</v>
      </c>
      <c r="E20" s="10">
        <v>0</v>
      </c>
      <c r="F20" s="6">
        <f t="shared" si="0"/>
        <v>534.65700000000004</v>
      </c>
      <c r="G20" s="5">
        <v>0</v>
      </c>
      <c r="H20" s="7">
        <v>0.91265375000000015</v>
      </c>
      <c r="I20" s="5">
        <v>0</v>
      </c>
      <c r="J20" s="5">
        <v>0</v>
      </c>
      <c r="K20" s="8">
        <f t="shared" si="1"/>
        <v>0.91265375000000015</v>
      </c>
      <c r="M20" s="9"/>
    </row>
    <row r="21" spans="1:18" x14ac:dyDescent="0.25">
      <c r="A21" s="3" t="s">
        <v>28</v>
      </c>
      <c r="B21" s="4">
        <v>2552.7640000000001</v>
      </c>
      <c r="C21" s="7">
        <v>315.21300000000002</v>
      </c>
      <c r="D21" s="4">
        <v>1141.057</v>
      </c>
      <c r="E21" s="5">
        <v>0</v>
      </c>
      <c r="F21" s="6">
        <f t="shared" si="0"/>
        <v>4009.0340000000006</v>
      </c>
      <c r="G21" s="7">
        <v>3.7742478494623661</v>
      </c>
      <c r="H21" s="7">
        <v>0.56772233870967748</v>
      </c>
      <c r="I21" s="7">
        <v>2.1318134811827956</v>
      </c>
      <c r="J21" s="5">
        <v>0</v>
      </c>
      <c r="K21" s="8">
        <f t="shared" si="1"/>
        <v>6.4737836693548392</v>
      </c>
      <c r="M21" s="9"/>
    </row>
    <row r="22" spans="1:18" x14ac:dyDescent="0.25">
      <c r="A22" s="3" t="s">
        <v>12</v>
      </c>
      <c r="B22" s="5">
        <v>0</v>
      </c>
      <c r="C22" s="5">
        <v>0</v>
      </c>
      <c r="D22" s="4">
        <v>1525.443</v>
      </c>
      <c r="E22" s="5">
        <v>0</v>
      </c>
      <c r="F22" s="6">
        <f t="shared" si="0"/>
        <v>1525.443</v>
      </c>
      <c r="G22" s="5">
        <v>0</v>
      </c>
      <c r="H22" s="5">
        <v>0</v>
      </c>
      <c r="I22" s="7">
        <v>2.8089474596774191</v>
      </c>
      <c r="J22" s="5">
        <v>0</v>
      </c>
      <c r="K22" s="8">
        <f t="shared" si="1"/>
        <v>2.8089474596774191</v>
      </c>
      <c r="M22" s="9"/>
    </row>
    <row r="23" spans="1:18" x14ac:dyDescent="0.25">
      <c r="A23" s="3" t="s">
        <v>11</v>
      </c>
      <c r="B23" s="4">
        <v>890.53399999999999</v>
      </c>
      <c r="C23" s="5">
        <v>0</v>
      </c>
      <c r="D23" s="5">
        <v>0</v>
      </c>
      <c r="E23" s="5">
        <v>0</v>
      </c>
      <c r="F23" s="6">
        <f t="shared" si="0"/>
        <v>890.53399999999999</v>
      </c>
      <c r="G23" s="7">
        <v>1.5919492204301076</v>
      </c>
      <c r="H23" s="5">
        <v>0</v>
      </c>
      <c r="I23" s="5">
        <v>0</v>
      </c>
      <c r="J23" s="5">
        <v>0</v>
      </c>
      <c r="K23" s="8">
        <f t="shared" si="1"/>
        <v>1.5919492204301076</v>
      </c>
      <c r="M23" s="9"/>
    </row>
    <row r="24" spans="1:18" x14ac:dyDescent="0.25">
      <c r="A24" s="3" t="s">
        <v>29</v>
      </c>
      <c r="B24" s="5">
        <v>0</v>
      </c>
      <c r="C24" s="5">
        <v>0</v>
      </c>
      <c r="D24" s="4">
        <v>20.989000000000001</v>
      </c>
      <c r="E24" s="5">
        <v>0</v>
      </c>
      <c r="F24" s="6">
        <f t="shared" si="0"/>
        <v>20.989000000000001</v>
      </c>
      <c r="G24" s="5">
        <v>0</v>
      </c>
      <c r="H24" s="5">
        <v>0</v>
      </c>
      <c r="I24" s="7">
        <v>4.7676626344086023E-2</v>
      </c>
      <c r="J24" s="5">
        <v>0</v>
      </c>
      <c r="K24" s="8">
        <f t="shared" si="1"/>
        <v>4.7676626344086023E-2</v>
      </c>
      <c r="M24" s="9"/>
    </row>
    <row r="25" spans="1:18" x14ac:dyDescent="0.25">
      <c r="A25" s="3" t="s">
        <v>40</v>
      </c>
      <c r="B25" s="4">
        <v>305.577</v>
      </c>
      <c r="C25" s="5">
        <v>0</v>
      </c>
      <c r="D25" s="4">
        <v>293.34199999999998</v>
      </c>
      <c r="E25" s="4">
        <v>85.069000000000003</v>
      </c>
      <c r="F25" s="6">
        <f t="shared" si="0"/>
        <v>683.98799999999994</v>
      </c>
      <c r="G25" s="7">
        <v>0.53393830645161289</v>
      </c>
      <c r="H25" s="5">
        <v>0</v>
      </c>
      <c r="I25" s="7">
        <v>0.51255994623655909</v>
      </c>
      <c r="J25" s="7">
        <v>0.14864206989247314</v>
      </c>
      <c r="K25" s="8">
        <f t="shared" si="1"/>
        <v>1.195140322580645</v>
      </c>
      <c r="M25" s="9"/>
      <c r="O25" s="18"/>
      <c r="P25" s="18"/>
      <c r="Q25" s="18"/>
      <c r="R25" s="18"/>
    </row>
    <row r="26" spans="1:18" x14ac:dyDescent="0.25">
      <c r="A26" s="3" t="s">
        <v>30</v>
      </c>
      <c r="B26" s="4">
        <v>111.46</v>
      </c>
      <c r="C26" s="5">
        <v>0</v>
      </c>
      <c r="D26" s="4">
        <v>1214.645</v>
      </c>
      <c r="E26" s="4">
        <v>905.76099999999997</v>
      </c>
      <c r="F26" s="6">
        <f t="shared" si="0"/>
        <v>2231.866</v>
      </c>
      <c r="G26" s="7">
        <v>0.19475537634408602</v>
      </c>
      <c r="H26" s="5">
        <v>0</v>
      </c>
      <c r="I26" s="7">
        <v>2.2203188172043014</v>
      </c>
      <c r="J26" s="7">
        <v>1.72</v>
      </c>
      <c r="K26" s="8">
        <f t="shared" si="1"/>
        <v>4.1350741935483875</v>
      </c>
      <c r="M26" s="9"/>
    </row>
    <row r="27" spans="1:18" x14ac:dyDescent="0.25">
      <c r="A27" s="3" t="s">
        <v>8</v>
      </c>
      <c r="B27" s="5">
        <v>0</v>
      </c>
      <c r="C27" s="5">
        <v>0</v>
      </c>
      <c r="D27" s="4">
        <v>111.498</v>
      </c>
      <c r="E27" s="5">
        <v>0</v>
      </c>
      <c r="F27" s="6">
        <f t="shared" si="0"/>
        <v>111.498</v>
      </c>
      <c r="G27" s="5">
        <v>0</v>
      </c>
      <c r="H27" s="5">
        <v>0</v>
      </c>
      <c r="I27" s="7">
        <v>0.20381354838709678</v>
      </c>
      <c r="J27" s="5">
        <v>0</v>
      </c>
      <c r="K27" s="8">
        <f t="shared" si="1"/>
        <v>0.20381354838709678</v>
      </c>
      <c r="M27" s="9"/>
    </row>
    <row r="28" spans="1:18" x14ac:dyDescent="0.25">
      <c r="A28" s="3" t="s">
        <v>15</v>
      </c>
      <c r="B28" s="5">
        <v>0</v>
      </c>
      <c r="C28" s="5">
        <v>0</v>
      </c>
      <c r="D28" s="4">
        <v>171.547</v>
      </c>
      <c r="E28" s="5">
        <v>0</v>
      </c>
      <c r="F28" s="6">
        <f t="shared" si="0"/>
        <v>171.547</v>
      </c>
      <c r="G28" s="5">
        <v>0</v>
      </c>
      <c r="H28" s="5">
        <v>0</v>
      </c>
      <c r="I28" s="7">
        <v>0.28821740591397849</v>
      </c>
      <c r="J28" s="5">
        <v>0</v>
      </c>
      <c r="K28" s="8">
        <f t="shared" si="1"/>
        <v>0.28821740591397849</v>
      </c>
      <c r="M28" s="9"/>
    </row>
    <row r="29" spans="1:18" ht="15.75" thickBot="1" x14ac:dyDescent="0.3">
      <c r="A29" s="14" t="s">
        <v>23</v>
      </c>
      <c r="B29" s="15">
        <f t="shared" ref="B29:K29" si="2">SUM(B7:B28)</f>
        <v>28545.429000000004</v>
      </c>
      <c r="C29" s="15">
        <f t="shared" si="2"/>
        <v>4449.4220000000005</v>
      </c>
      <c r="D29" s="15">
        <f t="shared" si="2"/>
        <v>20732.921999999999</v>
      </c>
      <c r="E29" s="15">
        <f t="shared" si="2"/>
        <v>1112.3719999999998</v>
      </c>
      <c r="F29" s="15">
        <f t="shared" si="2"/>
        <v>54840.144999999997</v>
      </c>
      <c r="G29" s="15">
        <f t="shared" si="2"/>
        <v>48.279600510752687</v>
      </c>
      <c r="H29" s="15">
        <f t="shared" si="2"/>
        <v>7.5561108467741942</v>
      </c>
      <c r="I29" s="15">
        <f t="shared" si="2"/>
        <v>38.012296129032251</v>
      </c>
      <c r="J29" s="15">
        <f t="shared" si="2"/>
        <v>2.1006151209677419</v>
      </c>
      <c r="K29" s="16">
        <f t="shared" si="2"/>
        <v>95.948622607526914</v>
      </c>
    </row>
    <row r="30" spans="1:18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8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670E0-F998-4A81-A5BC-675545FB1BB5}">
  <dimension ref="A2:R32"/>
  <sheetViews>
    <sheetView tabSelected="1" workbookViewId="0">
      <selection activeCell="F38" sqref="F38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5" x14ac:dyDescent="0.25">
      <c r="A2" s="24" t="s">
        <v>44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5" ht="15.75" thickBot="1" x14ac:dyDescent="0.3"/>
    <row r="5" spans="1:15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5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5" x14ac:dyDescent="0.25">
      <c r="A7" s="3" t="s">
        <v>17</v>
      </c>
      <c r="B7" s="4">
        <v>1026.2629999999999</v>
      </c>
      <c r="C7" s="5">
        <v>0</v>
      </c>
      <c r="D7" s="4">
        <v>1007.601</v>
      </c>
      <c r="E7" s="5">
        <v>0</v>
      </c>
      <c r="F7" s="6">
        <f t="shared" ref="F7:F29" si="0">B7+C7+D7+E7</f>
        <v>2033.864</v>
      </c>
      <c r="G7" s="7">
        <v>2.5799111527777776</v>
      </c>
      <c r="H7" s="5">
        <v>0</v>
      </c>
      <c r="I7" s="7">
        <v>1.889251875</v>
      </c>
      <c r="J7" s="5">
        <v>0</v>
      </c>
      <c r="K7" s="8">
        <f t="shared" ref="K7:K29" si="1">G7+H7+I7+J7</f>
        <v>4.4691630277777774</v>
      </c>
      <c r="M7" s="9"/>
    </row>
    <row r="8" spans="1:15" x14ac:dyDescent="0.25">
      <c r="A8" s="3" t="s">
        <v>9</v>
      </c>
      <c r="B8" s="4">
        <v>821.25900000000001</v>
      </c>
      <c r="C8" s="5">
        <v>0</v>
      </c>
      <c r="D8" s="5">
        <v>0</v>
      </c>
      <c r="E8" s="5">
        <v>0</v>
      </c>
      <c r="F8" s="6">
        <f t="shared" si="0"/>
        <v>821.25900000000001</v>
      </c>
      <c r="G8" s="7">
        <v>1.5968924999999998</v>
      </c>
      <c r="H8" s="5">
        <v>0</v>
      </c>
      <c r="I8" s="5">
        <v>0</v>
      </c>
      <c r="J8" s="5">
        <v>0</v>
      </c>
      <c r="K8" s="8">
        <f t="shared" si="1"/>
        <v>1.5968924999999998</v>
      </c>
      <c r="M8" s="9"/>
    </row>
    <row r="9" spans="1:15" x14ac:dyDescent="0.25">
      <c r="A9" s="3" t="s">
        <v>32</v>
      </c>
      <c r="B9" s="7">
        <v>113.20099999999999</v>
      </c>
      <c r="C9" s="5">
        <v>0</v>
      </c>
      <c r="D9" s="4">
        <v>3014.1320000000001</v>
      </c>
      <c r="E9" s="4">
        <v>51.622</v>
      </c>
      <c r="F9" s="6">
        <f t="shared" si="0"/>
        <v>3178.9549999999999</v>
      </c>
      <c r="G9" s="7">
        <v>0.22011305555555552</v>
      </c>
      <c r="H9" s="5">
        <v>0</v>
      </c>
      <c r="I9" s="7">
        <v>5.8608122222222212</v>
      </c>
      <c r="J9" s="7">
        <v>0.10396</v>
      </c>
      <c r="K9" s="8">
        <f t="shared" si="1"/>
        <v>6.1848852777777763</v>
      </c>
      <c r="M9" s="9"/>
    </row>
    <row r="10" spans="1:15" x14ac:dyDescent="0.25">
      <c r="A10" s="3" t="s">
        <v>19</v>
      </c>
      <c r="B10" s="4">
        <v>2160.6779999999999</v>
      </c>
      <c r="C10" s="5">
        <v>0</v>
      </c>
      <c r="D10" s="10">
        <v>0</v>
      </c>
      <c r="E10" s="10">
        <v>0</v>
      </c>
      <c r="F10" s="6">
        <f t="shared" si="0"/>
        <v>2160.6779999999999</v>
      </c>
      <c r="G10" s="7">
        <v>3.7511770833333329</v>
      </c>
      <c r="H10" s="5">
        <v>0</v>
      </c>
      <c r="I10" s="5">
        <v>0</v>
      </c>
      <c r="J10" s="5">
        <v>0</v>
      </c>
      <c r="K10" s="8">
        <f t="shared" si="1"/>
        <v>3.7511770833333329</v>
      </c>
      <c r="M10" s="9"/>
    </row>
    <row r="11" spans="1:15" x14ac:dyDescent="0.25">
      <c r="A11" s="3" t="s">
        <v>26</v>
      </c>
      <c r="B11" s="4">
        <v>9370.3169999999991</v>
      </c>
      <c r="C11" s="4">
        <v>1953.885</v>
      </c>
      <c r="D11" s="4">
        <v>2181.355</v>
      </c>
      <c r="E11" s="7">
        <v>39.906000000000006</v>
      </c>
      <c r="F11" s="6">
        <f t="shared" si="0"/>
        <v>13545.463</v>
      </c>
      <c r="G11" s="7">
        <v>16.918627916666665</v>
      </c>
      <c r="H11" s="7">
        <v>3.28</v>
      </c>
      <c r="I11" s="7">
        <v>3.9385576388888888</v>
      </c>
      <c r="J11" s="7">
        <v>6.6510000000000014E-2</v>
      </c>
      <c r="K11" s="8">
        <f t="shared" si="1"/>
        <v>24.203695555555555</v>
      </c>
      <c r="M11" s="9"/>
    </row>
    <row r="12" spans="1:15" x14ac:dyDescent="0.25">
      <c r="A12" s="3" t="s">
        <v>21</v>
      </c>
      <c r="B12" s="10">
        <v>0</v>
      </c>
      <c r="C12" s="4">
        <v>1017.511</v>
      </c>
      <c r="D12" s="4">
        <v>4516.5219999999999</v>
      </c>
      <c r="E12" s="10">
        <v>0</v>
      </c>
      <c r="F12" s="6">
        <f t="shared" si="0"/>
        <v>5534.0329999999994</v>
      </c>
      <c r="G12" s="5">
        <v>0</v>
      </c>
      <c r="H12" s="7">
        <v>1.7806442499999999</v>
      </c>
      <c r="I12" s="7">
        <v>8.7821261111111113</v>
      </c>
      <c r="J12" s="5">
        <v>0</v>
      </c>
      <c r="K12" s="8">
        <f t="shared" si="1"/>
        <v>10.562770361111111</v>
      </c>
      <c r="M12" s="9"/>
    </row>
    <row r="13" spans="1:15" x14ac:dyDescent="0.25">
      <c r="A13" s="3" t="s">
        <v>13</v>
      </c>
      <c r="B13" s="4">
        <v>5030.7790000000005</v>
      </c>
      <c r="C13" s="4">
        <v>829.29399999999998</v>
      </c>
      <c r="D13" s="4">
        <v>21.832000000000001</v>
      </c>
      <c r="E13" s="5">
        <v>0</v>
      </c>
      <c r="F13" s="6">
        <f t="shared" si="0"/>
        <v>5881.9050000000007</v>
      </c>
      <c r="G13" s="7">
        <v>8.524375527777778</v>
      </c>
      <c r="H13" s="7">
        <v>1.2330000000000001</v>
      </c>
      <c r="I13" s="7">
        <v>3.9418888888888892E-2</v>
      </c>
      <c r="J13" s="5">
        <v>0</v>
      </c>
      <c r="K13" s="8">
        <f t="shared" si="1"/>
        <v>9.7967944166666676</v>
      </c>
      <c r="M13" s="9"/>
      <c r="O13" s="9"/>
    </row>
    <row r="14" spans="1:15" x14ac:dyDescent="0.25">
      <c r="A14" s="3" t="s">
        <v>16</v>
      </c>
      <c r="B14" s="4">
        <v>2422.2429999999999</v>
      </c>
      <c r="C14" s="5">
        <v>0</v>
      </c>
      <c r="D14" s="4">
        <v>3705.5079999999998</v>
      </c>
      <c r="E14" s="7">
        <v>34.375</v>
      </c>
      <c r="F14" s="6">
        <f t="shared" si="0"/>
        <v>6162.1260000000002</v>
      </c>
      <c r="G14" s="7">
        <v>4.0370716666666659</v>
      </c>
      <c r="H14" s="5">
        <v>0</v>
      </c>
      <c r="I14" s="7">
        <v>6.8963621111111104</v>
      </c>
      <c r="J14" s="7">
        <v>6.6362847222222215E-2</v>
      </c>
      <c r="K14" s="8">
        <f t="shared" si="1"/>
        <v>10.999796624999998</v>
      </c>
      <c r="M14" s="17"/>
    </row>
    <row r="15" spans="1:15" x14ac:dyDescent="0.25">
      <c r="A15" s="11" t="s">
        <v>27</v>
      </c>
      <c r="B15" s="12">
        <v>3082.3040000000001</v>
      </c>
      <c r="C15" s="5">
        <v>0</v>
      </c>
      <c r="D15" s="5">
        <v>0</v>
      </c>
      <c r="E15" s="5">
        <v>0</v>
      </c>
      <c r="F15" s="6">
        <f t="shared" si="0"/>
        <v>3082.3040000000001</v>
      </c>
      <c r="G15" s="7">
        <v>4.7910000000000004</v>
      </c>
      <c r="H15" s="5">
        <v>0</v>
      </c>
      <c r="I15" s="5">
        <v>0</v>
      </c>
      <c r="J15" s="5">
        <v>0</v>
      </c>
      <c r="K15" s="8">
        <f t="shared" si="1"/>
        <v>4.7910000000000004</v>
      </c>
      <c r="M15" s="9"/>
    </row>
    <row r="16" spans="1:15" x14ac:dyDescent="0.25">
      <c r="A16" s="3" t="s">
        <v>20</v>
      </c>
      <c r="B16" s="4">
        <v>392.76900000000001</v>
      </c>
      <c r="C16" s="5">
        <v>0</v>
      </c>
      <c r="D16" s="4">
        <v>1.4119999999999999</v>
      </c>
      <c r="E16" s="5">
        <v>0</v>
      </c>
      <c r="F16" s="6">
        <f t="shared" si="0"/>
        <v>394.18099999999998</v>
      </c>
      <c r="G16" s="7">
        <v>0.70916625</v>
      </c>
      <c r="H16" s="5">
        <v>0</v>
      </c>
      <c r="I16" s="7">
        <v>2.5494444444444445E-3</v>
      </c>
      <c r="J16" s="5">
        <v>0</v>
      </c>
      <c r="K16" s="8">
        <f t="shared" si="1"/>
        <v>0.71171569444444449</v>
      </c>
      <c r="M16" s="9"/>
    </row>
    <row r="17" spans="1:18" x14ac:dyDescent="0.25">
      <c r="A17" s="3" t="s">
        <v>35</v>
      </c>
      <c r="B17" s="5">
        <v>0</v>
      </c>
      <c r="C17" s="5">
        <v>0</v>
      </c>
      <c r="D17" s="4">
        <v>543.505</v>
      </c>
      <c r="E17" s="5">
        <v>0</v>
      </c>
      <c r="F17" s="6">
        <f t="shared" si="0"/>
        <v>543.505</v>
      </c>
      <c r="G17" s="5">
        <v>0</v>
      </c>
      <c r="H17" s="5">
        <v>0</v>
      </c>
      <c r="I17" s="7">
        <v>0.86199999999999999</v>
      </c>
      <c r="J17" s="5">
        <v>0</v>
      </c>
      <c r="K17" s="8">
        <f t="shared" si="1"/>
        <v>0.86199999999999999</v>
      </c>
      <c r="M17" s="9"/>
    </row>
    <row r="18" spans="1:18" x14ac:dyDescent="0.25">
      <c r="A18" s="13" t="s">
        <v>22</v>
      </c>
      <c r="B18" s="4">
        <v>216.30600000000001</v>
      </c>
      <c r="C18" s="10">
        <v>0</v>
      </c>
      <c r="D18" s="4">
        <v>215.33</v>
      </c>
      <c r="E18" s="10">
        <v>0</v>
      </c>
      <c r="F18" s="6">
        <f t="shared" si="0"/>
        <v>431.63600000000002</v>
      </c>
      <c r="G18" s="7">
        <v>0.420595</v>
      </c>
      <c r="H18" s="5">
        <v>0</v>
      </c>
      <c r="I18" s="7">
        <v>0.39300000000000002</v>
      </c>
      <c r="J18" s="5">
        <v>0</v>
      </c>
      <c r="K18" s="8">
        <f t="shared" si="1"/>
        <v>0.81359500000000007</v>
      </c>
      <c r="M18" s="9"/>
    </row>
    <row r="19" spans="1:18" x14ac:dyDescent="0.25">
      <c r="A19" s="3" t="s">
        <v>43</v>
      </c>
      <c r="B19" s="4">
        <v>586.18600000000004</v>
      </c>
      <c r="C19" s="10"/>
      <c r="D19" s="4"/>
      <c r="E19" s="10"/>
      <c r="F19" s="6">
        <f t="shared" si="0"/>
        <v>586.18600000000004</v>
      </c>
      <c r="G19" s="7">
        <v>1.0502499166666668</v>
      </c>
      <c r="H19" s="5"/>
      <c r="I19" s="7"/>
      <c r="J19" s="5"/>
      <c r="K19" s="8">
        <f t="shared" si="1"/>
        <v>1.0502499166666668</v>
      </c>
      <c r="M19" s="9"/>
    </row>
    <row r="20" spans="1:18" x14ac:dyDescent="0.25">
      <c r="A20" s="3" t="s">
        <v>14</v>
      </c>
      <c r="B20" s="5">
        <v>0</v>
      </c>
      <c r="C20" s="5">
        <v>0</v>
      </c>
      <c r="D20" s="4">
        <v>395.798</v>
      </c>
      <c r="E20" s="5">
        <v>0</v>
      </c>
      <c r="F20" s="6">
        <f t="shared" si="0"/>
        <v>395.798</v>
      </c>
      <c r="G20" s="5">
        <v>0</v>
      </c>
      <c r="H20" s="5">
        <v>0</v>
      </c>
      <c r="I20" s="7">
        <v>0.84107074999999998</v>
      </c>
      <c r="J20" s="5">
        <v>0</v>
      </c>
      <c r="K20" s="8">
        <f t="shared" si="1"/>
        <v>0.84107074999999998</v>
      </c>
      <c r="M20" s="9"/>
    </row>
    <row r="21" spans="1:18" x14ac:dyDescent="0.25">
      <c r="A21" s="3" t="s">
        <v>18</v>
      </c>
      <c r="B21" s="5">
        <v>0</v>
      </c>
      <c r="C21" s="7">
        <v>532.91300000000001</v>
      </c>
      <c r="D21" s="10">
        <v>0</v>
      </c>
      <c r="E21" s="10">
        <v>0</v>
      </c>
      <c r="F21" s="6">
        <f t="shared" si="0"/>
        <v>532.91300000000001</v>
      </c>
      <c r="G21" s="5">
        <v>0</v>
      </c>
      <c r="H21" s="7">
        <v>0.93999931944444448</v>
      </c>
      <c r="I21" s="5">
        <v>0</v>
      </c>
      <c r="J21" s="5">
        <v>0</v>
      </c>
      <c r="K21" s="8">
        <f t="shared" si="1"/>
        <v>0.93999931944444448</v>
      </c>
      <c r="M21" s="9"/>
    </row>
    <row r="22" spans="1:18" x14ac:dyDescent="0.25">
      <c r="A22" s="3" t="s">
        <v>28</v>
      </c>
      <c r="B22" s="4">
        <v>2933.46</v>
      </c>
      <c r="C22" s="7">
        <v>241.65299999999999</v>
      </c>
      <c r="D22" s="4">
        <v>1275.867</v>
      </c>
      <c r="E22" s="5">
        <v>0</v>
      </c>
      <c r="F22" s="6">
        <f t="shared" si="0"/>
        <v>4450.9799999999996</v>
      </c>
      <c r="G22" s="7">
        <v>4.481675000000001</v>
      </c>
      <c r="H22" s="7">
        <v>0.44974308333333335</v>
      </c>
      <c r="I22" s="7">
        <v>2.4631321249999996</v>
      </c>
      <c r="J22" s="5">
        <v>0</v>
      </c>
      <c r="K22" s="8">
        <f t="shared" si="1"/>
        <v>7.3945502083333334</v>
      </c>
      <c r="M22" s="9"/>
    </row>
    <row r="23" spans="1:18" x14ac:dyDescent="0.25">
      <c r="A23" s="3" t="s">
        <v>12</v>
      </c>
      <c r="B23" s="5">
        <v>0</v>
      </c>
      <c r="C23" s="5">
        <v>0</v>
      </c>
      <c r="D23" s="4">
        <v>1558.221</v>
      </c>
      <c r="E23" s="5">
        <v>0</v>
      </c>
      <c r="F23" s="6">
        <f t="shared" si="0"/>
        <v>1558.221</v>
      </c>
      <c r="G23" s="5">
        <v>0</v>
      </c>
      <c r="H23" s="5">
        <v>0</v>
      </c>
      <c r="I23" s="7">
        <v>3.0733745029166664</v>
      </c>
      <c r="J23" s="5">
        <v>0</v>
      </c>
      <c r="K23" s="8">
        <f t="shared" si="1"/>
        <v>3.0733745029166664</v>
      </c>
      <c r="M23" s="9"/>
    </row>
    <row r="24" spans="1:18" x14ac:dyDescent="0.25">
      <c r="A24" s="3" t="s">
        <v>11</v>
      </c>
      <c r="B24" s="4">
        <v>868.58299999999997</v>
      </c>
      <c r="C24" s="5">
        <v>0</v>
      </c>
      <c r="D24" s="5">
        <v>0</v>
      </c>
      <c r="E24" s="5">
        <v>0</v>
      </c>
      <c r="F24" s="6">
        <f t="shared" si="0"/>
        <v>868.58299999999997</v>
      </c>
      <c r="G24" s="7">
        <v>1.7679283145833333</v>
      </c>
      <c r="H24" s="5">
        <v>0</v>
      </c>
      <c r="I24" s="5">
        <v>0</v>
      </c>
      <c r="J24" s="5">
        <v>0</v>
      </c>
      <c r="K24" s="8">
        <f t="shared" si="1"/>
        <v>1.7679283145833333</v>
      </c>
      <c r="M24" s="9"/>
    </row>
    <row r="25" spans="1:18" x14ac:dyDescent="0.25">
      <c r="A25" s="3" t="s">
        <v>29</v>
      </c>
      <c r="B25" s="5">
        <v>0</v>
      </c>
      <c r="C25" s="5">
        <v>0</v>
      </c>
      <c r="D25" s="4">
        <v>20.998999999999999</v>
      </c>
      <c r="E25" s="5">
        <v>0</v>
      </c>
      <c r="F25" s="6">
        <f t="shared" si="0"/>
        <v>20.998999999999999</v>
      </c>
      <c r="G25" s="5">
        <v>0</v>
      </c>
      <c r="H25" s="5">
        <v>0</v>
      </c>
      <c r="I25" s="7">
        <v>6.9121708333333337E-2</v>
      </c>
      <c r="J25" s="5">
        <v>0</v>
      </c>
      <c r="K25" s="8">
        <f t="shared" si="1"/>
        <v>6.9121708333333337E-2</v>
      </c>
      <c r="M25" s="9"/>
    </row>
    <row r="26" spans="1:18" x14ac:dyDescent="0.25">
      <c r="A26" s="3" t="s">
        <v>40</v>
      </c>
      <c r="B26" s="4">
        <v>314.93900000000002</v>
      </c>
      <c r="C26" s="5">
        <v>0</v>
      </c>
      <c r="D26" s="4">
        <v>260.46699999999998</v>
      </c>
      <c r="E26" s="4">
        <v>86.460999999999999</v>
      </c>
      <c r="F26" s="6">
        <f t="shared" si="0"/>
        <v>661.86699999999996</v>
      </c>
      <c r="G26" s="7">
        <v>0.5686398611111112</v>
      </c>
      <c r="H26" s="5">
        <v>0</v>
      </c>
      <c r="I26" s="7">
        <v>0.47028763888888886</v>
      </c>
      <c r="J26" s="7">
        <v>0.15611013888888889</v>
      </c>
      <c r="K26" s="8">
        <f t="shared" si="1"/>
        <v>1.1950376388888888</v>
      </c>
      <c r="M26" s="9"/>
      <c r="O26" s="18"/>
      <c r="P26" s="18"/>
      <c r="Q26" s="18"/>
      <c r="R26" s="18"/>
    </row>
    <row r="27" spans="1:18" x14ac:dyDescent="0.25">
      <c r="A27" s="3" t="s">
        <v>30</v>
      </c>
      <c r="B27" s="4">
        <v>110.38</v>
      </c>
      <c r="C27" s="5">
        <v>0</v>
      </c>
      <c r="D27" s="4">
        <v>1267.5</v>
      </c>
      <c r="E27" s="4">
        <v>896.851</v>
      </c>
      <c r="F27" s="6">
        <f t="shared" si="0"/>
        <v>2274.7310000000002</v>
      </c>
      <c r="G27" s="7">
        <v>0.19929722222222224</v>
      </c>
      <c r="H27" s="5">
        <v>0</v>
      </c>
      <c r="I27" s="7">
        <v>2.394166666666667</v>
      </c>
      <c r="J27" s="7">
        <v>1.716</v>
      </c>
      <c r="K27" s="8">
        <f t="shared" si="1"/>
        <v>4.3094638888888896</v>
      </c>
      <c r="M27" s="9"/>
    </row>
    <row r="28" spans="1:18" x14ac:dyDescent="0.25">
      <c r="A28" s="3" t="s">
        <v>8</v>
      </c>
      <c r="B28" s="5">
        <v>0</v>
      </c>
      <c r="C28" s="5">
        <v>0</v>
      </c>
      <c r="D28" s="4">
        <v>115.65</v>
      </c>
      <c r="E28" s="5">
        <v>0</v>
      </c>
      <c r="F28" s="6">
        <f t="shared" si="0"/>
        <v>115.65</v>
      </c>
      <c r="G28" s="5">
        <v>0</v>
      </c>
      <c r="H28" s="5">
        <v>0</v>
      </c>
      <c r="I28" s="7">
        <v>0.3090425</v>
      </c>
      <c r="J28" s="5">
        <v>0</v>
      </c>
      <c r="K28" s="8">
        <f t="shared" si="1"/>
        <v>0.3090425</v>
      </c>
      <c r="M28" s="9"/>
    </row>
    <row r="29" spans="1:18" x14ac:dyDescent="0.25">
      <c r="A29" s="3" t="s">
        <v>15</v>
      </c>
      <c r="B29" s="5">
        <v>0</v>
      </c>
      <c r="C29" s="5">
        <v>0</v>
      </c>
      <c r="D29" s="4">
        <v>163.29599999999999</v>
      </c>
      <c r="E29" s="5">
        <v>0</v>
      </c>
      <c r="F29" s="6">
        <f t="shared" si="0"/>
        <v>163.29599999999999</v>
      </c>
      <c r="G29" s="5">
        <v>0</v>
      </c>
      <c r="H29" s="5">
        <v>0</v>
      </c>
      <c r="I29" s="7">
        <v>0.3402</v>
      </c>
      <c r="J29" s="5">
        <v>0</v>
      </c>
      <c r="K29" s="8">
        <f t="shared" si="1"/>
        <v>0.3402</v>
      </c>
      <c r="M29" s="9"/>
    </row>
    <row r="30" spans="1:18" ht="15.75" thickBot="1" x14ac:dyDescent="0.3">
      <c r="A30" s="14" t="s">
        <v>23</v>
      </c>
      <c r="B30" s="15">
        <f t="shared" ref="B30:K30" si="2">SUM(B7:B29)</f>
        <v>29449.666999999998</v>
      </c>
      <c r="C30" s="15">
        <f t="shared" si="2"/>
        <v>4575.2559999999994</v>
      </c>
      <c r="D30" s="15">
        <f t="shared" si="2"/>
        <v>20264.995000000003</v>
      </c>
      <c r="E30" s="15">
        <f t="shared" si="2"/>
        <v>1109.2149999999999</v>
      </c>
      <c r="F30" s="15">
        <f t="shared" si="2"/>
        <v>55399.132999999994</v>
      </c>
      <c r="G30" s="15">
        <f t="shared" si="2"/>
        <v>51.616720467361105</v>
      </c>
      <c r="H30" s="15">
        <f t="shared" si="2"/>
        <v>7.6833866527777772</v>
      </c>
      <c r="I30" s="15">
        <f t="shared" si="2"/>
        <v>38.624474183472216</v>
      </c>
      <c r="J30" s="15">
        <f t="shared" si="2"/>
        <v>2.1089429861111109</v>
      </c>
      <c r="K30" s="16">
        <f t="shared" si="2"/>
        <v>100.03352428972221</v>
      </c>
    </row>
    <row r="31" spans="1:18" x14ac:dyDescent="0.25">
      <c r="A31" s="30" t="s">
        <v>24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</row>
    <row r="32" spans="1:18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</row>
  </sheetData>
  <mergeCells count="5">
    <mergeCell ref="A2:K3"/>
    <mergeCell ref="A5:A6"/>
    <mergeCell ref="B5:F5"/>
    <mergeCell ref="G5:K5"/>
    <mergeCell ref="A31:K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BE1C3-079C-421A-8A63-3E946ECA27B3}">
  <dimension ref="A2:M30"/>
  <sheetViews>
    <sheetView zoomScale="130" zoomScaleNormal="130" workbookViewId="0">
      <selection activeCell="J16" sqref="J16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1177.6600000000001</v>
      </c>
      <c r="C7" s="5">
        <v>0</v>
      </c>
      <c r="D7" s="4">
        <v>462.673</v>
      </c>
      <c r="E7" s="5">
        <v>0</v>
      </c>
      <c r="F7" s="6">
        <f t="shared" ref="F7:F27" si="0">B7+C7+D7+E7</f>
        <v>1640.3330000000001</v>
      </c>
      <c r="G7" s="7">
        <f>B7/744*1.38</f>
        <v>2.1843693548387098</v>
      </c>
      <c r="H7" s="5">
        <f t="shared" ref="H7" si="1">C7/720*1.13</f>
        <v>0</v>
      </c>
      <c r="I7" s="7">
        <f>D7/744*1.54</f>
        <v>0.95768336021505374</v>
      </c>
      <c r="J7" s="5">
        <f>E7/720*1.13</f>
        <v>0</v>
      </c>
      <c r="K7" s="8">
        <f t="shared" ref="K7:K27" si="2">G7+H7+I7+J7</f>
        <v>3.1420527150537634</v>
      </c>
      <c r="M7" s="9"/>
    </row>
    <row r="8" spans="1:13" x14ac:dyDescent="0.25">
      <c r="A8" s="3" t="s">
        <v>9</v>
      </c>
      <c r="B8" s="4">
        <v>734.54899999999998</v>
      </c>
      <c r="C8" s="5">
        <v>0</v>
      </c>
      <c r="D8" s="5">
        <v>0</v>
      </c>
      <c r="E8" s="5">
        <v>0</v>
      </c>
      <c r="F8" s="6">
        <f t="shared" si="0"/>
        <v>734.54899999999998</v>
      </c>
      <c r="G8" s="7">
        <f>B8/740*1.59</f>
        <v>1.5782877162162163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si="2"/>
        <v>1.5782877162162163</v>
      </c>
      <c r="M8" s="9"/>
    </row>
    <row r="9" spans="1:13" x14ac:dyDescent="0.25">
      <c r="A9" s="3" t="s">
        <v>32</v>
      </c>
      <c r="B9" s="5">
        <v>0</v>
      </c>
      <c r="C9" s="5">
        <v>0</v>
      </c>
      <c r="D9" s="4">
        <v>2731.1460000000002</v>
      </c>
      <c r="E9" s="4">
        <v>47.682000000000002</v>
      </c>
      <c r="F9" s="6">
        <f t="shared" si="0"/>
        <v>2778.828</v>
      </c>
      <c r="G9" s="5">
        <f>B9/720*1.13</f>
        <v>0</v>
      </c>
      <c r="H9" s="5">
        <f>C9/720*1.13</f>
        <v>0</v>
      </c>
      <c r="I9" s="7">
        <f>D9/720*1.4</f>
        <v>5.3105616666666666</v>
      </c>
      <c r="J9" s="7">
        <f>E9/720*1.41</f>
        <v>9.3377250000000009E-2</v>
      </c>
      <c r="K9" s="8">
        <f t="shared" si="2"/>
        <v>5.4039389166666663</v>
      </c>
      <c r="M9" s="9"/>
    </row>
    <row r="10" spans="1:13" x14ac:dyDescent="0.25">
      <c r="A10" s="3" t="s">
        <v>19</v>
      </c>
      <c r="B10" s="4">
        <v>2060.0990000000002</v>
      </c>
      <c r="C10" s="5">
        <v>0</v>
      </c>
      <c r="D10" s="10">
        <v>0</v>
      </c>
      <c r="E10" s="10">
        <v>0</v>
      </c>
      <c r="F10" s="6">
        <f t="shared" si="0"/>
        <v>2060.0990000000002</v>
      </c>
      <c r="G10" s="7">
        <f>B10/720*1.34</f>
        <v>3.8340731388888893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2"/>
        <v>3.8340731388888893</v>
      </c>
      <c r="M10" s="9"/>
    </row>
    <row r="11" spans="1:13" x14ac:dyDescent="0.25">
      <c r="A11" s="3" t="s">
        <v>26</v>
      </c>
      <c r="B11" s="4">
        <f>8067.1+1136.138</f>
        <v>9203.2380000000012</v>
      </c>
      <c r="C11" s="4">
        <v>1857.7840000000001</v>
      </c>
      <c r="D11" s="4">
        <f>1726.095+365.253</f>
        <v>2091.348</v>
      </c>
      <c r="E11" s="7">
        <f>30.488+27.358</f>
        <v>57.846000000000004</v>
      </c>
      <c r="F11" s="6">
        <f t="shared" si="0"/>
        <v>13210.216</v>
      </c>
      <c r="G11" s="7">
        <f>B11/744*1.32</f>
        <v>16.328325483870969</v>
      </c>
      <c r="H11" s="7">
        <v>3.117</v>
      </c>
      <c r="I11" s="7">
        <f>D11/744*1.28</f>
        <v>3.598018064516129</v>
      </c>
      <c r="J11" s="7">
        <f>E11/744*1.31</f>
        <v>0.1018525</v>
      </c>
      <c r="K11" s="8">
        <f t="shared" si="2"/>
        <v>23.145196048387099</v>
      </c>
      <c r="M11" s="9"/>
    </row>
    <row r="12" spans="1:13" x14ac:dyDescent="0.25">
      <c r="A12" s="3" t="s">
        <v>21</v>
      </c>
      <c r="B12" s="10">
        <v>0</v>
      </c>
      <c r="C12" s="4">
        <f>660.101+317.364</f>
        <v>977.46499999999992</v>
      </c>
      <c r="D12" s="4">
        <f>137.134+43.606</f>
        <v>180.73999999999998</v>
      </c>
      <c r="E12" s="10">
        <v>0</v>
      </c>
      <c r="F12" s="6">
        <f t="shared" si="0"/>
        <v>1158.2049999999999</v>
      </c>
      <c r="G12" s="5">
        <f>B12/720*1.19</f>
        <v>0</v>
      </c>
      <c r="H12" s="7">
        <f>C12/744*1.31</f>
        <v>1.7210741263440861</v>
      </c>
      <c r="I12" s="7">
        <f>D12/744*1.29</f>
        <v>0.31337983870967739</v>
      </c>
      <c r="J12" s="5">
        <f>E12/720*1.25</f>
        <v>0</v>
      </c>
      <c r="K12" s="8">
        <f t="shared" si="2"/>
        <v>2.0344539650537636</v>
      </c>
      <c r="M12" s="9"/>
    </row>
    <row r="13" spans="1:13" x14ac:dyDescent="0.25">
      <c r="A13" s="3" t="s">
        <v>13</v>
      </c>
      <c r="B13" s="4">
        <v>3273.2779999999998</v>
      </c>
      <c r="C13" s="4">
        <v>537.25599999999997</v>
      </c>
      <c r="D13" s="4">
        <v>14.750999999999999</v>
      </c>
      <c r="E13" s="5">
        <v>0</v>
      </c>
      <c r="F13" s="6">
        <f t="shared" si="0"/>
        <v>3825.2849999999999</v>
      </c>
      <c r="G13" s="7">
        <v>5.6459999999999999</v>
      </c>
      <c r="H13" s="7">
        <v>0.875</v>
      </c>
      <c r="I13" s="7">
        <f>D13/744*1.18</f>
        <v>2.3395403225806452E-2</v>
      </c>
      <c r="J13" s="5">
        <f>E13/720*1.13</f>
        <v>0</v>
      </c>
      <c r="K13" s="8">
        <f t="shared" si="2"/>
        <v>6.5443954032258063</v>
      </c>
      <c r="M13" s="9"/>
    </row>
    <row r="14" spans="1:13" x14ac:dyDescent="0.25">
      <c r="A14" s="3" t="s">
        <v>16</v>
      </c>
      <c r="B14" s="4">
        <f>541.387+1806.769</f>
        <v>2348.1559999999999</v>
      </c>
      <c r="C14" s="5">
        <v>0</v>
      </c>
      <c r="D14" s="4">
        <f>580.407+306.697+1502.084+1191.309</f>
        <v>3580.4970000000003</v>
      </c>
      <c r="E14" s="7">
        <v>23.385000000000002</v>
      </c>
      <c r="F14" s="6">
        <f t="shared" si="0"/>
        <v>5952.0380000000005</v>
      </c>
      <c r="G14" s="7">
        <f>B14/744*1.45</f>
        <v>4.576379301075268</v>
      </c>
      <c r="H14" s="5">
        <f>C14/720*1.13</f>
        <v>0</v>
      </c>
      <c r="I14" s="7">
        <f>D14/744*1.35</f>
        <v>6.4968695564516139</v>
      </c>
      <c r="J14" s="7">
        <f>E14/744*1.22</f>
        <v>3.834637096774194E-2</v>
      </c>
      <c r="K14" s="8">
        <f t="shared" si="2"/>
        <v>11.111595228494624</v>
      </c>
      <c r="M14" s="9"/>
    </row>
    <row r="15" spans="1:13" x14ac:dyDescent="0.25">
      <c r="A15" s="11" t="s">
        <v>27</v>
      </c>
      <c r="B15" s="12">
        <f>1671.96+423.792</f>
        <v>2095.752</v>
      </c>
      <c r="C15" s="5">
        <v>0</v>
      </c>
      <c r="D15" s="5">
        <v>0</v>
      </c>
      <c r="E15" s="5">
        <v>0</v>
      </c>
      <c r="F15" s="6">
        <f t="shared" si="0"/>
        <v>2095.752</v>
      </c>
      <c r="G15" s="7">
        <f>B15/744*1.19</f>
        <v>3.3520764516129029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2"/>
        <v>3.3520764516129029</v>
      </c>
      <c r="M15" s="9"/>
    </row>
    <row r="16" spans="1:13" x14ac:dyDescent="0.25">
      <c r="A16" s="3" t="s">
        <v>20</v>
      </c>
      <c r="B16" s="4">
        <v>343.09500000000003</v>
      </c>
      <c r="C16" s="5">
        <v>0</v>
      </c>
      <c r="D16" s="4">
        <f>307.778+221.206</f>
        <v>528.98400000000004</v>
      </c>
      <c r="E16" s="4">
        <f>172.597+69.809</f>
        <v>242.40600000000001</v>
      </c>
      <c r="F16" s="6">
        <f t="shared" si="0"/>
        <v>1114.4850000000001</v>
      </c>
      <c r="G16" s="7">
        <f>B16/744*1.23</f>
        <v>0.5672135080645162</v>
      </c>
      <c r="H16" s="5">
        <f>C16/720*1.33</f>
        <v>0</v>
      </c>
      <c r="I16" s="7">
        <f>D16/744*1.26</f>
        <v>0.8958600000000001</v>
      </c>
      <c r="J16" s="7">
        <f>E16/744*1.28</f>
        <v>0.41704258064516131</v>
      </c>
      <c r="K16" s="8">
        <f t="shared" si="2"/>
        <v>1.8801160887096775</v>
      </c>
      <c r="M16" s="9"/>
    </row>
    <row r="17" spans="1:13" x14ac:dyDescent="0.25">
      <c r="A17" s="13" t="s">
        <v>22</v>
      </c>
      <c r="B17" s="4">
        <v>251.74100000000001</v>
      </c>
      <c r="C17" s="10">
        <v>0</v>
      </c>
      <c r="D17" s="10">
        <v>0</v>
      </c>
      <c r="E17" s="10">
        <v>0</v>
      </c>
      <c r="F17" s="6">
        <f t="shared" si="0"/>
        <v>251.74100000000001</v>
      </c>
      <c r="G17" s="7">
        <f>B17/744*1.34</f>
        <v>0.45340448924731186</v>
      </c>
      <c r="H17" s="5">
        <f t="shared" ref="H17:J17" si="3">C17/720*1.19</f>
        <v>0</v>
      </c>
      <c r="I17" s="5">
        <f t="shared" si="3"/>
        <v>0</v>
      </c>
      <c r="J17" s="5">
        <f t="shared" si="3"/>
        <v>0</v>
      </c>
      <c r="K17" s="8">
        <f t="shared" si="2"/>
        <v>0.45340448924731186</v>
      </c>
      <c r="M17" s="9"/>
    </row>
    <row r="18" spans="1:13" x14ac:dyDescent="0.25">
      <c r="A18" s="3" t="s">
        <v>14</v>
      </c>
      <c r="B18" s="5">
        <v>0</v>
      </c>
      <c r="C18" s="5">
        <v>0</v>
      </c>
      <c r="D18" s="4">
        <v>421.274</v>
      </c>
      <c r="E18" s="5">
        <v>0</v>
      </c>
      <c r="F18" s="6">
        <f t="shared" si="0"/>
        <v>421.274</v>
      </c>
      <c r="G18" s="5">
        <f>B18/720*1.13</f>
        <v>0</v>
      </c>
      <c r="H18" s="5">
        <f>C18/720*1.13</f>
        <v>0</v>
      </c>
      <c r="I18" s="7">
        <f>D18/744*1.45</f>
        <v>0.821031317204301</v>
      </c>
      <c r="J18" s="5">
        <f>E18/720*1.13</f>
        <v>0</v>
      </c>
      <c r="K18" s="8">
        <f t="shared" si="2"/>
        <v>0.821031317204301</v>
      </c>
      <c r="M18" s="9"/>
    </row>
    <row r="19" spans="1:13" x14ac:dyDescent="0.25">
      <c r="A19" s="3" t="s">
        <v>18</v>
      </c>
      <c r="B19" s="5">
        <v>0</v>
      </c>
      <c r="C19" s="7">
        <v>356.98</v>
      </c>
      <c r="D19" s="10">
        <v>0</v>
      </c>
      <c r="E19" s="10">
        <v>0</v>
      </c>
      <c r="F19" s="6">
        <f t="shared" si="0"/>
        <v>356.98</v>
      </c>
      <c r="G19" s="5">
        <f>B19/720*1.19</f>
        <v>0</v>
      </c>
      <c r="H19" s="7">
        <f>C19/744*1.37</f>
        <v>0.65734220430107537</v>
      </c>
      <c r="I19" s="5">
        <f>D19/720*1.25</f>
        <v>0</v>
      </c>
      <c r="J19" s="5">
        <f>E19/720*1.25</f>
        <v>0</v>
      </c>
      <c r="K19" s="8">
        <f t="shared" si="2"/>
        <v>0.65734220430107537</v>
      </c>
      <c r="M19" s="9"/>
    </row>
    <row r="20" spans="1:13" x14ac:dyDescent="0.25">
      <c r="A20" s="3" t="s">
        <v>28</v>
      </c>
      <c r="B20" s="4">
        <f>2688.15+107.302</f>
        <v>2795.4520000000002</v>
      </c>
      <c r="C20" s="7">
        <v>340.12</v>
      </c>
      <c r="D20" s="4">
        <v>1350.979</v>
      </c>
      <c r="E20" s="5">
        <v>0</v>
      </c>
      <c r="F20" s="6">
        <f t="shared" si="0"/>
        <v>4486.5510000000004</v>
      </c>
      <c r="G20" s="7">
        <f>B20/744*1.2</f>
        <v>4.5087935483870965</v>
      </c>
      <c r="H20" s="7">
        <f>C20/744*1.23</f>
        <v>0.56229516129032253</v>
      </c>
      <c r="I20" s="7">
        <f>D20/744*1.4</f>
        <v>2.5421647849462365</v>
      </c>
      <c r="J20" s="5">
        <f>E20/720*1.13</f>
        <v>0</v>
      </c>
      <c r="K20" s="8">
        <f t="shared" si="2"/>
        <v>7.6132534946236552</v>
      </c>
      <c r="M20" s="9"/>
    </row>
    <row r="21" spans="1:13" x14ac:dyDescent="0.25">
      <c r="A21" s="3" t="s">
        <v>12</v>
      </c>
      <c r="B21" s="5">
        <v>0</v>
      </c>
      <c r="C21" s="5">
        <v>0</v>
      </c>
      <c r="D21" s="4">
        <v>1446.3969999999999</v>
      </c>
      <c r="E21" s="5">
        <v>0</v>
      </c>
      <c r="F21" s="6">
        <f t="shared" si="0"/>
        <v>1446.3969999999999</v>
      </c>
      <c r="G21" s="5">
        <f>B21/720*1.13</f>
        <v>0</v>
      </c>
      <c r="H21" s="5">
        <f>C21/720*1.23</f>
        <v>0</v>
      </c>
      <c r="I21" s="7">
        <f>D21/744*1.32</f>
        <v>2.5661882258064517</v>
      </c>
      <c r="J21" s="5">
        <f>E21/720*1.13</f>
        <v>0</v>
      </c>
      <c r="K21" s="8">
        <f t="shared" si="2"/>
        <v>2.5661882258064517</v>
      </c>
      <c r="M21" s="9"/>
    </row>
    <row r="22" spans="1:13" x14ac:dyDescent="0.25">
      <c r="A22" s="3" t="s">
        <v>11</v>
      </c>
      <c r="B22" s="4">
        <v>836.76700000000005</v>
      </c>
      <c r="C22" s="5">
        <v>0</v>
      </c>
      <c r="D22" s="5">
        <v>0</v>
      </c>
      <c r="E22" s="5">
        <v>0</v>
      </c>
      <c r="F22" s="6">
        <f t="shared" si="0"/>
        <v>836.76700000000005</v>
      </c>
      <c r="G22" s="7">
        <f>B22/744*1.32</f>
        <v>1.4845866129032259</v>
      </c>
      <c r="H22" s="5">
        <f>C22/720*1.13</f>
        <v>0</v>
      </c>
      <c r="I22" s="5">
        <f>D22/720*1.13</f>
        <v>0</v>
      </c>
      <c r="J22" s="5">
        <f>E22/720*1.13</f>
        <v>0</v>
      </c>
      <c r="K22" s="8">
        <f t="shared" si="2"/>
        <v>1.4845866129032259</v>
      </c>
      <c r="M22" s="9"/>
    </row>
    <row r="23" spans="1:13" x14ac:dyDescent="0.25">
      <c r="A23" s="3" t="s">
        <v>29</v>
      </c>
      <c r="B23" s="5">
        <v>0</v>
      </c>
      <c r="C23" s="5">
        <v>0</v>
      </c>
      <c r="D23" s="4">
        <v>29.713999999999999</v>
      </c>
      <c r="E23" s="5">
        <v>0</v>
      </c>
      <c r="F23" s="6">
        <f t="shared" si="0"/>
        <v>29.713999999999999</v>
      </c>
      <c r="G23" s="5">
        <f>B23/720*1.13</f>
        <v>0</v>
      </c>
      <c r="H23" s="5">
        <f>C23/720*1.23</f>
        <v>0</v>
      </c>
      <c r="I23" s="7">
        <f>D23/744*1.44</f>
        <v>5.7510967741935475E-2</v>
      </c>
      <c r="J23" s="5">
        <f>E23/720*1.13</f>
        <v>0</v>
      </c>
      <c r="K23" s="8">
        <f t="shared" si="2"/>
        <v>5.7510967741935475E-2</v>
      </c>
      <c r="M23" s="9"/>
    </row>
    <row r="24" spans="1:13" x14ac:dyDescent="0.25">
      <c r="A24" s="3" t="s">
        <v>10</v>
      </c>
      <c r="B24" s="4">
        <f>1.888+642.996</f>
        <v>644.88400000000001</v>
      </c>
      <c r="C24" s="5">
        <v>0</v>
      </c>
      <c r="D24" s="4">
        <f>231.294+11.732</f>
        <v>243.02600000000001</v>
      </c>
      <c r="E24" s="4">
        <f>70.25+7.791</f>
        <v>78.040999999999997</v>
      </c>
      <c r="F24" s="6">
        <f t="shared" si="0"/>
        <v>965.95100000000002</v>
      </c>
      <c r="G24" s="7">
        <f>B24/744*1.22</f>
        <v>1.0574710752688172</v>
      </c>
      <c r="H24" s="5">
        <f>C24/720*1.13</f>
        <v>0</v>
      </c>
      <c r="I24" s="7">
        <f>D24/744*1.26</f>
        <v>0.41157629032258064</v>
      </c>
      <c r="J24" s="7">
        <f>E24/744*1.32</f>
        <v>0.13845983870967743</v>
      </c>
      <c r="K24" s="8">
        <f t="shared" si="2"/>
        <v>1.6075072043010752</v>
      </c>
      <c r="M24" s="9"/>
    </row>
    <row r="25" spans="1:13" x14ac:dyDescent="0.25">
      <c r="A25" s="3" t="s">
        <v>30</v>
      </c>
      <c r="B25" s="4">
        <v>103.996</v>
      </c>
      <c r="C25" s="5">
        <v>0</v>
      </c>
      <c r="D25" s="4">
        <v>1102.559</v>
      </c>
      <c r="E25" s="4">
        <v>801.99699999999996</v>
      </c>
      <c r="F25" s="6">
        <f t="shared" si="0"/>
        <v>2008.5520000000001</v>
      </c>
      <c r="G25" s="7">
        <f>B25/744*1.24</f>
        <v>0.17332666666666666</v>
      </c>
      <c r="H25" s="5">
        <f>C25/720*1.13</f>
        <v>0</v>
      </c>
      <c r="I25" s="7">
        <f>D25/744*1.32</f>
        <v>1.9561530645161289</v>
      </c>
      <c r="J25" s="7">
        <v>1.6459999999999999</v>
      </c>
      <c r="K25" s="8">
        <f t="shared" si="2"/>
        <v>3.7754797311827955</v>
      </c>
      <c r="M25" s="9"/>
    </row>
    <row r="26" spans="1:13" x14ac:dyDescent="0.25">
      <c r="A26" s="3" t="s">
        <v>8</v>
      </c>
      <c r="B26" s="5">
        <v>0</v>
      </c>
      <c r="C26" s="5">
        <v>0</v>
      </c>
      <c r="D26" s="4">
        <v>131.506</v>
      </c>
      <c r="E26" s="5">
        <v>0</v>
      </c>
      <c r="F26" s="6">
        <f t="shared" si="0"/>
        <v>131.506</v>
      </c>
      <c r="G26" s="5">
        <f>B26/720*1.114</f>
        <v>0</v>
      </c>
      <c r="H26" s="5">
        <f t="shared" ref="H26" si="4">C26/720*1.13</f>
        <v>0</v>
      </c>
      <c r="I26" s="7">
        <f>D26/744*1.28</f>
        <v>0.22624688172043012</v>
      </c>
      <c r="J26" s="5">
        <f>E26/720*1.19</f>
        <v>0</v>
      </c>
      <c r="K26" s="8">
        <f t="shared" si="2"/>
        <v>0.22624688172043012</v>
      </c>
      <c r="M26" s="9"/>
    </row>
    <row r="27" spans="1:13" x14ac:dyDescent="0.25">
      <c r="A27" s="3" t="s">
        <v>15</v>
      </c>
      <c r="B27" s="5">
        <v>0</v>
      </c>
      <c r="C27" s="5">
        <v>0</v>
      </c>
      <c r="D27" s="4">
        <v>154.155</v>
      </c>
      <c r="E27" s="5">
        <v>0</v>
      </c>
      <c r="F27" s="6">
        <f t="shared" si="0"/>
        <v>154.155</v>
      </c>
      <c r="G27" s="5">
        <f t="shared" ref="G27:H27" si="5">B27/720*1.13</f>
        <v>0</v>
      </c>
      <c r="H27" s="5">
        <f t="shared" si="5"/>
        <v>0</v>
      </c>
      <c r="I27" s="7">
        <f>D27/744*1.34</f>
        <v>0.27764475806451616</v>
      </c>
      <c r="J27" s="5">
        <f>E27/720*1.13</f>
        <v>0</v>
      </c>
      <c r="K27" s="8">
        <f t="shared" si="2"/>
        <v>0.27764475806451616</v>
      </c>
      <c r="M27" s="9"/>
    </row>
    <row r="28" spans="1:13" ht="15.75" thickBot="1" x14ac:dyDescent="0.3">
      <c r="A28" s="14" t="s">
        <v>23</v>
      </c>
      <c r="B28" s="15">
        <f t="shared" ref="B28:K28" si="6">SUM(B7:B27)</f>
        <v>25868.667000000001</v>
      </c>
      <c r="C28" s="15">
        <f t="shared" si="6"/>
        <v>4069.6049999999996</v>
      </c>
      <c r="D28" s="15">
        <f t="shared" si="6"/>
        <v>14469.749</v>
      </c>
      <c r="E28" s="15">
        <f t="shared" si="6"/>
        <v>1251.357</v>
      </c>
      <c r="F28" s="15">
        <f t="shared" si="6"/>
        <v>45659.378000000004</v>
      </c>
      <c r="G28" s="15">
        <f t="shared" si="6"/>
        <v>45.744307347040596</v>
      </c>
      <c r="H28" s="15">
        <f t="shared" si="6"/>
        <v>6.9327114919354837</v>
      </c>
      <c r="I28" s="15">
        <f t="shared" si="6"/>
        <v>26.454284180107532</v>
      </c>
      <c r="J28" s="15">
        <f t="shared" si="6"/>
        <v>2.4350785403225803</v>
      </c>
      <c r="K28" s="15">
        <f t="shared" si="6"/>
        <v>81.566381559406182</v>
      </c>
    </row>
    <row r="29" spans="1:13" x14ac:dyDescent="0.25">
      <c r="A29" s="30" t="s">
        <v>24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3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</row>
  </sheetData>
  <mergeCells count="5">
    <mergeCell ref="A2:K3"/>
    <mergeCell ref="A5:A6"/>
    <mergeCell ref="B5:F5"/>
    <mergeCell ref="G5:K5"/>
    <mergeCell ref="A29:K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CA033-E330-4B72-87A3-E547F684FA38}">
  <dimension ref="A2:M30"/>
  <sheetViews>
    <sheetView zoomScale="145" zoomScaleNormal="145" workbookViewId="0">
      <selection activeCell="I7" sqref="I7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1158.492</v>
      </c>
      <c r="C7" s="5">
        <v>0</v>
      </c>
      <c r="D7" s="4">
        <v>529.81500000000005</v>
      </c>
      <c r="E7" s="5">
        <v>0</v>
      </c>
      <c r="F7" s="6">
        <f t="shared" ref="F7:F27" si="0">B7+C7+D7+E7</f>
        <v>1688.307</v>
      </c>
      <c r="G7" s="7">
        <f>B7/744*1.39</f>
        <v>2.1643869354838707</v>
      </c>
      <c r="H7" s="5">
        <f t="shared" ref="H7" si="1">C7/720*1.13</f>
        <v>0</v>
      </c>
      <c r="I7" s="7">
        <f>D7/744*1.52</f>
        <v>1.0824177419354839</v>
      </c>
      <c r="J7" s="5">
        <f>E7/720*1.13</f>
        <v>0</v>
      </c>
      <c r="K7" s="8">
        <f t="shared" ref="K7:K27" si="2">G7+H7+I7+J7</f>
        <v>3.2468046774193544</v>
      </c>
      <c r="M7" s="9"/>
    </row>
    <row r="8" spans="1:13" x14ac:dyDescent="0.25">
      <c r="A8" s="3" t="s">
        <v>9</v>
      </c>
      <c r="B8" s="4">
        <v>797.077</v>
      </c>
      <c r="C8" s="5">
        <v>0</v>
      </c>
      <c r="D8" s="5">
        <v>0</v>
      </c>
      <c r="E8" s="5">
        <v>0</v>
      </c>
      <c r="F8" s="6">
        <f t="shared" si="0"/>
        <v>797.077</v>
      </c>
      <c r="G8" s="7">
        <f>B8/740*1.55</f>
        <v>1.6695531756756756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si="2"/>
        <v>1.6695531756756756</v>
      </c>
      <c r="M8" s="9"/>
    </row>
    <row r="9" spans="1:13" x14ac:dyDescent="0.25">
      <c r="A9" s="3" t="s">
        <v>32</v>
      </c>
      <c r="B9" s="5">
        <v>0</v>
      </c>
      <c r="C9" s="5">
        <v>0</v>
      </c>
      <c r="D9" s="4">
        <v>3028.85</v>
      </c>
      <c r="E9" s="4">
        <v>50.774000000000001</v>
      </c>
      <c r="F9" s="6">
        <f t="shared" si="0"/>
        <v>3079.6239999999998</v>
      </c>
      <c r="G9" s="5">
        <f>B9/720*1.13</f>
        <v>0</v>
      </c>
      <c r="H9" s="5">
        <f>C9/720*1.13</f>
        <v>0</v>
      </c>
      <c r="I9" s="7">
        <f>D9/720*1.1</f>
        <v>4.6274097222222226</v>
      </c>
      <c r="J9" s="7">
        <f>E9/720*1.44</f>
        <v>0.10154799999999999</v>
      </c>
      <c r="K9" s="8">
        <f t="shared" si="2"/>
        <v>4.7289577222222228</v>
      </c>
      <c r="M9" s="9"/>
    </row>
    <row r="10" spans="1:13" x14ac:dyDescent="0.25">
      <c r="A10" s="3" t="s">
        <v>19</v>
      </c>
      <c r="B10" s="4">
        <f>1231.746+910.349</f>
        <v>2142.0950000000003</v>
      </c>
      <c r="C10" s="5">
        <v>0</v>
      </c>
      <c r="D10" s="10">
        <v>0</v>
      </c>
      <c r="E10" s="10">
        <v>0</v>
      </c>
      <c r="F10" s="6">
        <f t="shared" si="0"/>
        <v>2142.0950000000003</v>
      </c>
      <c r="G10" s="7">
        <f>B10/720*1.35</f>
        <v>4.0164281250000009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2"/>
        <v>4.0164281250000009</v>
      </c>
      <c r="M10" s="9"/>
    </row>
    <row r="11" spans="1:13" x14ac:dyDescent="0.25">
      <c r="A11" s="3" t="s">
        <v>26</v>
      </c>
      <c r="B11" s="4">
        <f>9320.896+1209.585</f>
        <v>10530.481</v>
      </c>
      <c r="C11" s="4">
        <v>1982.5029999999999</v>
      </c>
      <c r="D11" s="4">
        <f>1971.048+392.537</f>
        <v>2363.585</v>
      </c>
      <c r="E11" s="7">
        <f>35.931+26.974</f>
        <v>62.905000000000001</v>
      </c>
      <c r="F11" s="6">
        <f t="shared" si="0"/>
        <v>14939.474</v>
      </c>
      <c r="G11" s="7">
        <f>B11/744*1.36</f>
        <v>19.249266344086024</v>
      </c>
      <c r="H11" s="7">
        <v>3.1659999999999999</v>
      </c>
      <c r="I11" s="7">
        <f>D11/744*1.31</f>
        <v>4.1616886424731181</v>
      </c>
      <c r="J11" s="7">
        <f>E11/744*1.32</f>
        <v>0.11160564516129033</v>
      </c>
      <c r="K11" s="8">
        <f t="shared" si="2"/>
        <v>26.688560631720435</v>
      </c>
      <c r="M11" s="9"/>
    </row>
    <row r="12" spans="1:13" x14ac:dyDescent="0.25">
      <c r="A12" s="3" t="s">
        <v>21</v>
      </c>
      <c r="B12" s="10">
        <v>0</v>
      </c>
      <c r="C12" s="4">
        <v>1055.809</v>
      </c>
      <c r="D12" s="4">
        <v>172.58699999999999</v>
      </c>
      <c r="E12" s="10">
        <v>0</v>
      </c>
      <c r="F12" s="6">
        <f t="shared" si="0"/>
        <v>1228.396</v>
      </c>
      <c r="G12" s="5">
        <f>B12/720*1.19</f>
        <v>0</v>
      </c>
      <c r="H12" s="7">
        <f>C12/744*1.32</f>
        <v>1.8732095161290323</v>
      </c>
      <c r="I12" s="7">
        <f>D12/744*1.33</f>
        <v>0.30852245967741931</v>
      </c>
      <c r="J12" s="5">
        <f>E12/720*1.25</f>
        <v>0</v>
      </c>
      <c r="K12" s="8">
        <f t="shared" si="2"/>
        <v>2.1817319758064517</v>
      </c>
      <c r="M12" s="9"/>
    </row>
    <row r="13" spans="1:13" x14ac:dyDescent="0.25">
      <c r="A13" s="3" t="s">
        <v>13</v>
      </c>
      <c r="B13" s="4">
        <v>4488.8270000000002</v>
      </c>
      <c r="C13" s="4">
        <v>632.38400000000001</v>
      </c>
      <c r="D13" s="4">
        <v>14.834</v>
      </c>
      <c r="E13" s="5">
        <v>0</v>
      </c>
      <c r="F13" s="6">
        <f t="shared" si="0"/>
        <v>5136.0450000000001</v>
      </c>
      <c r="G13" s="7">
        <v>6.8410000000000002</v>
      </c>
      <c r="H13" s="7">
        <v>0.95499999999999996</v>
      </c>
      <c r="I13" s="7">
        <f>D13/744*1.12</f>
        <v>2.2330752688172043E-2</v>
      </c>
      <c r="J13" s="5">
        <f>E13/720*1.13</f>
        <v>0</v>
      </c>
      <c r="K13" s="8">
        <f t="shared" si="2"/>
        <v>7.8183307526881727</v>
      </c>
      <c r="M13" s="9"/>
    </row>
    <row r="14" spans="1:13" x14ac:dyDescent="0.25">
      <c r="A14" s="3" t="s">
        <v>16</v>
      </c>
      <c r="B14" s="4">
        <v>2441.5790000000002</v>
      </c>
      <c r="C14" s="5">
        <v>0</v>
      </c>
      <c r="D14" s="4">
        <v>3854.3330000000001</v>
      </c>
      <c r="E14" s="7">
        <v>24.535</v>
      </c>
      <c r="F14" s="6">
        <f t="shared" si="0"/>
        <v>6320.4470000000001</v>
      </c>
      <c r="G14" s="7">
        <f>B14/744*1.42</f>
        <v>4.6600029301075274</v>
      </c>
      <c r="H14" s="5">
        <f>C14/720*1.13</f>
        <v>0</v>
      </c>
      <c r="I14" s="7">
        <f>D14/744*1.33</f>
        <v>6.8901382930107529</v>
      </c>
      <c r="J14" s="7">
        <f>E14/744*1.26</f>
        <v>4.1551209677419348E-2</v>
      </c>
      <c r="K14" s="8">
        <f t="shared" si="2"/>
        <v>11.5916924327957</v>
      </c>
      <c r="M14" s="9"/>
    </row>
    <row r="15" spans="1:13" x14ac:dyDescent="0.25">
      <c r="A15" s="11" t="s">
        <v>27</v>
      </c>
      <c r="B15" s="12">
        <v>2228.605</v>
      </c>
      <c r="C15" s="5">
        <v>0</v>
      </c>
      <c r="D15" s="5">
        <v>0</v>
      </c>
      <c r="E15" s="5">
        <v>0</v>
      </c>
      <c r="F15" s="6">
        <f t="shared" si="0"/>
        <v>2228.605</v>
      </c>
      <c r="G15" s="7">
        <f>3.366</f>
        <v>3.3660000000000001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2"/>
        <v>3.3660000000000001</v>
      </c>
      <c r="M15" s="9"/>
    </row>
    <row r="16" spans="1:13" x14ac:dyDescent="0.25">
      <c r="A16" s="3" t="s">
        <v>20</v>
      </c>
      <c r="B16" s="4">
        <v>350.21899999999999</v>
      </c>
      <c r="C16" s="5">
        <v>0</v>
      </c>
      <c r="D16" s="4">
        <v>1.46</v>
      </c>
      <c r="E16" s="5">
        <v>0</v>
      </c>
      <c r="F16" s="6">
        <f t="shared" si="0"/>
        <v>351.67899999999997</v>
      </c>
      <c r="G16" s="7">
        <f>B16/744*1.27</f>
        <v>0.59782006720430114</v>
      </c>
      <c r="H16" s="5">
        <f>C16/720*1.33</f>
        <v>0</v>
      </c>
      <c r="I16" s="7">
        <f>D16/744*1.24</f>
        <v>2.4333333333333329E-3</v>
      </c>
      <c r="J16" s="5">
        <f>E16/720*1.13</f>
        <v>0</v>
      </c>
      <c r="K16" s="8">
        <f t="shared" si="2"/>
        <v>0.60025340053763443</v>
      </c>
      <c r="M16" s="9"/>
    </row>
    <row r="17" spans="1:13" x14ac:dyDescent="0.25">
      <c r="A17" s="13" t="s">
        <v>22</v>
      </c>
      <c r="B17" s="4">
        <v>232.92699999999999</v>
      </c>
      <c r="C17" s="10">
        <v>0</v>
      </c>
      <c r="D17" s="10">
        <v>0</v>
      </c>
      <c r="E17" s="10">
        <v>0</v>
      </c>
      <c r="F17" s="6">
        <f t="shared" si="0"/>
        <v>232.92699999999999</v>
      </c>
      <c r="G17" s="7">
        <f>B17/744*1.35</f>
        <v>0.42264979838709676</v>
      </c>
      <c r="H17" s="5">
        <f t="shared" ref="H17:J17" si="3">C17/720*1.19</f>
        <v>0</v>
      </c>
      <c r="I17" s="5">
        <f t="shared" si="3"/>
        <v>0</v>
      </c>
      <c r="J17" s="5">
        <f t="shared" si="3"/>
        <v>0</v>
      </c>
      <c r="K17" s="8">
        <f t="shared" si="2"/>
        <v>0.42264979838709676</v>
      </c>
      <c r="M17" s="9"/>
    </row>
    <row r="18" spans="1:13" x14ac:dyDescent="0.25">
      <c r="A18" s="3" t="s">
        <v>14</v>
      </c>
      <c r="B18" s="5">
        <v>0</v>
      </c>
      <c r="C18" s="5">
        <v>0</v>
      </c>
      <c r="D18" s="4">
        <v>441.37900000000002</v>
      </c>
      <c r="E18" s="5">
        <v>0</v>
      </c>
      <c r="F18" s="6">
        <f t="shared" si="0"/>
        <v>441.37900000000002</v>
      </c>
      <c r="G18" s="5">
        <f>B18/720*1.13</f>
        <v>0</v>
      </c>
      <c r="H18" s="5">
        <f>C18/720*1.13</f>
        <v>0</v>
      </c>
      <c r="I18" s="7">
        <f>D18/744*1.48</f>
        <v>0.87801198924731183</v>
      </c>
      <c r="J18" s="5">
        <f>E18/720*1.13</f>
        <v>0</v>
      </c>
      <c r="K18" s="8">
        <f t="shared" si="2"/>
        <v>0.87801198924731183</v>
      </c>
      <c r="M18" s="9"/>
    </row>
    <row r="19" spans="1:13" x14ac:dyDescent="0.25">
      <c r="A19" s="3" t="s">
        <v>18</v>
      </c>
      <c r="B19" s="5">
        <v>0</v>
      </c>
      <c r="C19" s="7">
        <v>367.577</v>
      </c>
      <c r="D19" s="10">
        <v>0</v>
      </c>
      <c r="E19" s="10">
        <v>0</v>
      </c>
      <c r="F19" s="6">
        <f t="shared" si="0"/>
        <v>367.577</v>
      </c>
      <c r="G19" s="5">
        <f>B19/720*1.19</f>
        <v>0</v>
      </c>
      <c r="H19" s="7">
        <f>C19/744*1.38</f>
        <v>0.68179604838709673</v>
      </c>
      <c r="I19" s="5">
        <f>D19/720*1.25</f>
        <v>0</v>
      </c>
      <c r="J19" s="5">
        <f>E19/720*1.25</f>
        <v>0</v>
      </c>
      <c r="K19" s="8">
        <f t="shared" si="2"/>
        <v>0.68179604838709673</v>
      </c>
      <c r="M19" s="9"/>
    </row>
    <row r="20" spans="1:13" x14ac:dyDescent="0.25">
      <c r="A20" s="3" t="s">
        <v>28</v>
      </c>
      <c r="B20" s="4">
        <f>2757.421+97.665</f>
        <v>2855.0859999999998</v>
      </c>
      <c r="C20" s="7">
        <v>279.95499999999998</v>
      </c>
      <c r="D20" s="4">
        <v>1353.097</v>
      </c>
      <c r="E20" s="5">
        <v>0</v>
      </c>
      <c r="F20" s="6">
        <f t="shared" si="0"/>
        <v>4488.1379999999999</v>
      </c>
      <c r="G20" s="7">
        <f>B20/744*1.24</f>
        <v>4.7584766666666658</v>
      </c>
      <c r="H20" s="7">
        <f>C20/744*1.25</f>
        <v>0.47035450268817203</v>
      </c>
      <c r="I20" s="7">
        <f>D20/744*1.37</f>
        <v>2.4915899059139783</v>
      </c>
      <c r="J20" s="5">
        <f>E20/720*1.13</f>
        <v>0</v>
      </c>
      <c r="K20" s="8">
        <f t="shared" si="2"/>
        <v>7.7204210752688169</v>
      </c>
      <c r="M20" s="9"/>
    </row>
    <row r="21" spans="1:13" x14ac:dyDescent="0.25">
      <c r="A21" s="3" t="s">
        <v>12</v>
      </c>
      <c r="B21" s="5">
        <v>0</v>
      </c>
      <c r="C21" s="5">
        <v>0</v>
      </c>
      <c r="D21" s="4">
        <v>1481.8050000000001</v>
      </c>
      <c r="E21" s="5">
        <v>0</v>
      </c>
      <c r="F21" s="6">
        <f t="shared" si="0"/>
        <v>1481.8050000000001</v>
      </c>
      <c r="G21" s="5">
        <f>B21/720*1.13</f>
        <v>0</v>
      </c>
      <c r="H21" s="5">
        <f>C21/720*1.23</f>
        <v>0</v>
      </c>
      <c r="I21" s="7">
        <f>D21/744*1.33</f>
        <v>2.64892560483871</v>
      </c>
      <c r="J21" s="5">
        <f>E21/720*1.13</f>
        <v>0</v>
      </c>
      <c r="K21" s="8">
        <f t="shared" si="2"/>
        <v>2.64892560483871</v>
      </c>
      <c r="M21" s="9"/>
    </row>
    <row r="22" spans="1:13" x14ac:dyDescent="0.25">
      <c r="A22" s="3" t="s">
        <v>11</v>
      </c>
      <c r="B22" s="4">
        <v>926.78899999999999</v>
      </c>
      <c r="C22" s="5">
        <v>0</v>
      </c>
      <c r="D22" s="5">
        <v>0</v>
      </c>
      <c r="E22" s="5">
        <v>0</v>
      </c>
      <c r="F22" s="6">
        <f t="shared" si="0"/>
        <v>926.78899999999999</v>
      </c>
      <c r="G22" s="7">
        <f>B22/744*1.31</f>
        <v>1.6318462231182798</v>
      </c>
      <c r="H22" s="5">
        <f>C22/720*1.13</f>
        <v>0</v>
      </c>
      <c r="I22" s="5">
        <f>D22/720*1.13</f>
        <v>0</v>
      </c>
      <c r="J22" s="5">
        <f>E22/720*1.13</f>
        <v>0</v>
      </c>
      <c r="K22" s="8">
        <f t="shared" si="2"/>
        <v>1.6318462231182798</v>
      </c>
      <c r="M22" s="9"/>
    </row>
    <row r="23" spans="1:13" x14ac:dyDescent="0.25">
      <c r="A23" s="3" t="s">
        <v>29</v>
      </c>
      <c r="B23" s="5">
        <v>0</v>
      </c>
      <c r="C23" s="5">
        <v>0</v>
      </c>
      <c r="D23" s="4">
        <v>21.474</v>
      </c>
      <c r="E23" s="5">
        <v>0</v>
      </c>
      <c r="F23" s="6">
        <f t="shared" si="0"/>
        <v>21.474</v>
      </c>
      <c r="G23" s="5">
        <f>B23/720*1.13</f>
        <v>0</v>
      </c>
      <c r="H23" s="5">
        <f>C23/720*1.23</f>
        <v>0</v>
      </c>
      <c r="I23" s="7">
        <f>D23/744*1.64</f>
        <v>4.7335161290322579E-2</v>
      </c>
      <c r="J23" s="5">
        <f>E23/720*1.13</f>
        <v>0</v>
      </c>
      <c r="K23" s="8">
        <f t="shared" si="2"/>
        <v>4.7335161290322579E-2</v>
      </c>
      <c r="M23" s="9"/>
    </row>
    <row r="24" spans="1:13" x14ac:dyDescent="0.25">
      <c r="A24" s="3" t="s">
        <v>10</v>
      </c>
      <c r="B24" s="4">
        <f>2.156+301.548</f>
        <v>303.70400000000001</v>
      </c>
      <c r="C24" s="5">
        <v>0</v>
      </c>
      <c r="D24" s="4">
        <f>247.429+11.351</f>
        <v>258.78000000000003</v>
      </c>
      <c r="E24" s="4">
        <f>75.822+8.288</f>
        <v>84.11</v>
      </c>
      <c r="F24" s="6">
        <f t="shared" si="0"/>
        <v>646.59400000000005</v>
      </c>
      <c r="G24" s="7">
        <f>B24/744*1.26</f>
        <v>0.51433741935483879</v>
      </c>
      <c r="H24" s="5">
        <f>C24/720*1.13</f>
        <v>0</v>
      </c>
      <c r="I24" s="7">
        <f>D24/744*1.29</f>
        <v>0.44869112903225811</v>
      </c>
      <c r="J24" s="7">
        <f>E24/744*1.35</f>
        <v>0.15261895161290323</v>
      </c>
      <c r="K24" s="8">
        <f t="shared" si="2"/>
        <v>1.1156475000000001</v>
      </c>
      <c r="M24" s="9"/>
    </row>
    <row r="25" spans="1:13" x14ac:dyDescent="0.25">
      <c r="A25" s="3" t="s">
        <v>30</v>
      </c>
      <c r="B25" s="4">
        <v>105.779</v>
      </c>
      <c r="C25" s="5">
        <v>0</v>
      </c>
      <c r="D25" s="4">
        <v>1184.9939999999999</v>
      </c>
      <c r="E25" s="4">
        <v>879.33500000000004</v>
      </c>
      <c r="F25" s="6">
        <f t="shared" si="0"/>
        <v>2170.1080000000002</v>
      </c>
      <c r="G25" s="7">
        <f>B25/744*1.27</f>
        <v>0.18056361559139786</v>
      </c>
      <c r="H25" s="5">
        <f>C25/720*1.13</f>
        <v>0</v>
      </c>
      <c r="I25" s="7">
        <f>D25/744*1.35</f>
        <v>2.1501907258064517</v>
      </c>
      <c r="J25" s="7">
        <v>1.653</v>
      </c>
      <c r="K25" s="8">
        <f t="shared" si="2"/>
        <v>3.9837543413978493</v>
      </c>
      <c r="M25" s="9"/>
    </row>
    <row r="26" spans="1:13" x14ac:dyDescent="0.25">
      <c r="A26" s="3" t="s">
        <v>8</v>
      </c>
      <c r="B26" s="5">
        <v>0</v>
      </c>
      <c r="C26" s="5">
        <v>0</v>
      </c>
      <c r="D26" s="4">
        <v>114.93899999999999</v>
      </c>
      <c r="E26" s="5">
        <v>0</v>
      </c>
      <c r="F26" s="6">
        <f t="shared" si="0"/>
        <v>114.93899999999999</v>
      </c>
      <c r="G26" s="5">
        <f>B26/720*1.114</f>
        <v>0</v>
      </c>
      <c r="H26" s="5">
        <f t="shared" ref="H26" si="4">C26/720*1.13</f>
        <v>0</v>
      </c>
      <c r="I26" s="7">
        <f>D26/744*1.32</f>
        <v>0.20392403225806452</v>
      </c>
      <c r="J26" s="5">
        <f>E26/720*1.19</f>
        <v>0</v>
      </c>
      <c r="K26" s="8">
        <f t="shared" si="2"/>
        <v>0.20392403225806452</v>
      </c>
      <c r="M26" s="9"/>
    </row>
    <row r="27" spans="1:13" x14ac:dyDescent="0.25">
      <c r="A27" s="3" t="s">
        <v>15</v>
      </c>
      <c r="B27" s="5">
        <v>0</v>
      </c>
      <c r="C27" s="5">
        <v>0</v>
      </c>
      <c r="D27" s="4">
        <v>167.48400000000001</v>
      </c>
      <c r="E27" s="5">
        <v>0</v>
      </c>
      <c r="F27" s="6">
        <f t="shared" si="0"/>
        <v>167.48400000000001</v>
      </c>
      <c r="G27" s="5">
        <f t="shared" ref="G27:H27" si="5">B27/720*1.13</f>
        <v>0</v>
      </c>
      <c r="H27" s="5">
        <f t="shared" si="5"/>
        <v>0</v>
      </c>
      <c r="I27" s="7">
        <f>D27/744*1.37</f>
        <v>0.3084046774193549</v>
      </c>
      <c r="J27" s="5">
        <f>E27/720*1.13</f>
        <v>0</v>
      </c>
      <c r="K27" s="8">
        <f t="shared" si="2"/>
        <v>0.3084046774193549</v>
      </c>
      <c r="M27" s="9"/>
    </row>
    <row r="28" spans="1:13" ht="15.75" thickBot="1" x14ac:dyDescent="0.3">
      <c r="A28" s="14" t="s">
        <v>23</v>
      </c>
      <c r="B28" s="15">
        <f t="shared" ref="B28:K28" si="6">SUM(B7:B27)</f>
        <v>28561.660000000003</v>
      </c>
      <c r="C28" s="15">
        <f t="shared" si="6"/>
        <v>4318.2280000000001</v>
      </c>
      <c r="D28" s="15">
        <f t="shared" si="6"/>
        <v>14989.416000000001</v>
      </c>
      <c r="E28" s="15">
        <f t="shared" si="6"/>
        <v>1101.6590000000001</v>
      </c>
      <c r="F28" s="15">
        <f t="shared" si="6"/>
        <v>48970.962999999996</v>
      </c>
      <c r="G28" s="15">
        <f t="shared" si="6"/>
        <v>50.072331300675678</v>
      </c>
      <c r="H28" s="15">
        <f t="shared" si="6"/>
        <v>7.1463600672043013</v>
      </c>
      <c r="I28" s="15">
        <f t="shared" si="6"/>
        <v>26.272014171146957</v>
      </c>
      <c r="J28" s="15">
        <f t="shared" si="6"/>
        <v>2.0603238064516129</v>
      </c>
      <c r="K28" s="15">
        <f t="shared" si="6"/>
        <v>85.55102934547854</v>
      </c>
    </row>
    <row r="29" spans="1:13" x14ac:dyDescent="0.25">
      <c r="A29" s="30" t="s">
        <v>24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3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</row>
  </sheetData>
  <mergeCells count="5">
    <mergeCell ref="A2:K3"/>
    <mergeCell ref="A5:A6"/>
    <mergeCell ref="B5:F5"/>
    <mergeCell ref="G5:K5"/>
    <mergeCell ref="A29:K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83728-19BC-4FFC-A2E4-4449EEADAC69}">
  <dimension ref="A2:M31"/>
  <sheetViews>
    <sheetView zoomScale="130" zoomScaleNormal="130" workbookViewId="0">
      <selection activeCell="G7" sqref="G7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34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1149.152</v>
      </c>
      <c r="C7" s="5">
        <v>0</v>
      </c>
      <c r="D7" s="4">
        <v>510.73899999999998</v>
      </c>
      <c r="E7" s="5">
        <v>0</v>
      </c>
      <c r="F7" s="6">
        <f t="shared" ref="F7:F28" si="0">B7+C7+D7+E7</f>
        <v>1659.8910000000001</v>
      </c>
      <c r="G7" s="7">
        <f>B7/744*1.33</f>
        <v>2.0542636559139789</v>
      </c>
      <c r="H7" s="5">
        <f t="shared" ref="H7" si="1">C7/720*1.13</f>
        <v>0</v>
      </c>
      <c r="I7" s="7">
        <f>D7/744*1.38</f>
        <v>0.94733846774193531</v>
      </c>
      <c r="J7" s="5">
        <f>E7/720*1.13</f>
        <v>0</v>
      </c>
      <c r="K7" s="8">
        <f t="shared" ref="K7:K28" si="2">G7+H7+I7+J7</f>
        <v>3.0016021236559141</v>
      </c>
      <c r="M7" s="9"/>
    </row>
    <row r="8" spans="1:13" x14ac:dyDescent="0.25">
      <c r="A8" s="3" t="s">
        <v>9</v>
      </c>
      <c r="B8" s="4">
        <v>697.00800000000004</v>
      </c>
      <c r="C8" s="5">
        <v>0</v>
      </c>
      <c r="D8" s="5">
        <v>0</v>
      </c>
      <c r="E8" s="5">
        <v>0</v>
      </c>
      <c r="F8" s="6">
        <f t="shared" si="0"/>
        <v>697.00800000000004</v>
      </c>
      <c r="G8" s="7">
        <f>B8/740*1.55</f>
        <v>1.4599491891891891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si="2"/>
        <v>1.4599491891891891</v>
      </c>
      <c r="M8" s="9"/>
    </row>
    <row r="9" spans="1:13" x14ac:dyDescent="0.25">
      <c r="A9" s="3" t="s">
        <v>32</v>
      </c>
      <c r="B9" s="5">
        <v>0</v>
      </c>
      <c r="C9" s="5">
        <v>0</v>
      </c>
      <c r="D9" s="4">
        <f>1769.817+1128.811</f>
        <v>2898.6279999999997</v>
      </c>
      <c r="E9" s="4">
        <v>47.33</v>
      </c>
      <c r="F9" s="6">
        <f t="shared" si="0"/>
        <v>2945.9579999999996</v>
      </c>
      <c r="G9" s="5">
        <f>B9/720*1.13</f>
        <v>0</v>
      </c>
      <c r="H9" s="5">
        <f>C9/720*1.13</f>
        <v>0</v>
      </c>
      <c r="I9" s="7">
        <f>D9/720*1.16</f>
        <v>4.670011777777777</v>
      </c>
      <c r="J9" s="7">
        <v>9.8000000000000004E-2</v>
      </c>
      <c r="K9" s="8">
        <f t="shared" si="2"/>
        <v>4.7680117777777768</v>
      </c>
      <c r="M9" s="9"/>
    </row>
    <row r="10" spans="1:13" x14ac:dyDescent="0.25">
      <c r="A10" s="3" t="s">
        <v>19</v>
      </c>
      <c r="B10" s="4">
        <f>1269.468+877.937</f>
        <v>2147.4050000000002</v>
      </c>
      <c r="C10" s="5">
        <v>0</v>
      </c>
      <c r="D10" s="10">
        <v>0</v>
      </c>
      <c r="E10" s="10">
        <v>0</v>
      </c>
      <c r="F10" s="6">
        <f t="shared" si="0"/>
        <v>2147.4050000000002</v>
      </c>
      <c r="G10" s="7">
        <f>B10/720*1.3</f>
        <v>3.8772590277777783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2"/>
        <v>3.8772590277777783</v>
      </c>
      <c r="M10" s="9"/>
    </row>
    <row r="11" spans="1:13" x14ac:dyDescent="0.25">
      <c r="A11" s="3" t="s">
        <v>26</v>
      </c>
      <c r="B11" s="4">
        <f>8754.337+1043.767</f>
        <v>9798.1039999999994</v>
      </c>
      <c r="C11" s="4">
        <v>1714.0419999999999</v>
      </c>
      <c r="D11" s="4">
        <f>1999.003+347.449</f>
        <v>2346.4519999999998</v>
      </c>
      <c r="E11" s="7">
        <f>25.646+22.074</f>
        <v>47.72</v>
      </c>
      <c r="F11" s="6">
        <f t="shared" si="0"/>
        <v>13906.317999999997</v>
      </c>
      <c r="G11" s="7">
        <f>B11/744*1.34</f>
        <v>17.647122795698923</v>
      </c>
      <c r="H11" s="7">
        <v>3.0150000000000001</v>
      </c>
      <c r="I11" s="7">
        <f>D11/744*1.27</f>
        <v>4.0053683333333332</v>
      </c>
      <c r="J11" s="7">
        <f>E11/744*1.25</f>
        <v>8.0174731182795694E-2</v>
      </c>
      <c r="K11" s="8">
        <f t="shared" si="2"/>
        <v>24.747665860215054</v>
      </c>
      <c r="M11" s="9"/>
    </row>
    <row r="12" spans="1:13" x14ac:dyDescent="0.25">
      <c r="A12" s="3" t="s">
        <v>21</v>
      </c>
      <c r="B12" s="10">
        <v>0</v>
      </c>
      <c r="C12" s="4">
        <f>660.777+371.065</f>
        <v>1031.8420000000001</v>
      </c>
      <c r="D12" s="4">
        <f>120.327+36.274</f>
        <v>156.601</v>
      </c>
      <c r="E12" s="10">
        <v>0</v>
      </c>
      <c r="F12" s="6">
        <f t="shared" si="0"/>
        <v>1188.4430000000002</v>
      </c>
      <c r="G12" s="5">
        <f>B12/720*1.19</f>
        <v>0</v>
      </c>
      <c r="H12" s="7">
        <f>C12/744*1.27</f>
        <v>1.7613431989247312</v>
      </c>
      <c r="I12" s="7">
        <f>D12/744*1.28</f>
        <v>0.2694210752688172</v>
      </c>
      <c r="J12" s="5">
        <f>E12/720*1.25</f>
        <v>0</v>
      </c>
      <c r="K12" s="8">
        <f t="shared" si="2"/>
        <v>2.0307642741935483</v>
      </c>
      <c r="M12" s="9"/>
    </row>
    <row r="13" spans="1:13" x14ac:dyDescent="0.25">
      <c r="A13" s="3" t="s">
        <v>13</v>
      </c>
      <c r="B13" s="4">
        <v>4290.9179999999997</v>
      </c>
      <c r="C13" s="4">
        <v>590.74300000000005</v>
      </c>
      <c r="D13" s="4">
        <v>11.433</v>
      </c>
      <c r="E13" s="5">
        <v>0</v>
      </c>
      <c r="F13" s="6">
        <f t="shared" si="0"/>
        <v>4893.0940000000001</v>
      </c>
      <c r="G13" s="7">
        <v>7.0090000000000003</v>
      </c>
      <c r="H13" s="7">
        <v>0.90600000000000003</v>
      </c>
      <c r="I13" s="7">
        <f>D13/744*1.08</f>
        <v>1.6596290322580646E-2</v>
      </c>
      <c r="J13" s="5">
        <f>E13/720*1.13</f>
        <v>0</v>
      </c>
      <c r="K13" s="8">
        <f t="shared" si="2"/>
        <v>7.931596290322581</v>
      </c>
      <c r="M13" s="9"/>
    </row>
    <row r="14" spans="1:13" x14ac:dyDescent="0.25">
      <c r="A14" s="3" t="s">
        <v>16</v>
      </c>
      <c r="B14" s="4">
        <v>1886.097</v>
      </c>
      <c r="C14" s="5">
        <v>0</v>
      </c>
      <c r="D14" s="4">
        <v>3749.38</v>
      </c>
      <c r="E14" s="7">
        <v>27.265000000000001</v>
      </c>
      <c r="F14" s="6">
        <f t="shared" si="0"/>
        <v>5662.7420000000002</v>
      </c>
      <c r="G14" s="7">
        <f>B14/744*1.38</f>
        <v>3.4984057258064509</v>
      </c>
      <c r="H14" s="5">
        <f>C14/720*1.13</f>
        <v>0</v>
      </c>
      <c r="I14" s="7">
        <f>D14/744*1.36</f>
        <v>6.8537053763440872</v>
      </c>
      <c r="J14" s="7">
        <f>E14/744*1.29</f>
        <v>4.7273991935483872E-2</v>
      </c>
      <c r="K14" s="8">
        <f t="shared" si="2"/>
        <v>10.399385094086021</v>
      </c>
      <c r="M14" s="9"/>
    </row>
    <row r="15" spans="1:13" x14ac:dyDescent="0.25">
      <c r="A15" s="11" t="s">
        <v>27</v>
      </c>
      <c r="B15" s="12">
        <v>2186.9549999999999</v>
      </c>
      <c r="C15" s="5">
        <v>0</v>
      </c>
      <c r="D15" s="5">
        <v>0</v>
      </c>
      <c r="E15" s="5">
        <v>0</v>
      </c>
      <c r="F15" s="6">
        <f t="shared" si="0"/>
        <v>2186.9549999999999</v>
      </c>
      <c r="G15" s="7">
        <f>3.366</f>
        <v>3.3660000000000001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2"/>
        <v>3.3660000000000001</v>
      </c>
      <c r="M15" s="9"/>
    </row>
    <row r="16" spans="1:13" x14ac:dyDescent="0.25">
      <c r="A16" s="3" t="s">
        <v>20</v>
      </c>
      <c r="B16" s="4">
        <v>324.77800000000002</v>
      </c>
      <c r="C16" s="5">
        <v>0</v>
      </c>
      <c r="D16" s="4">
        <v>1.4119999999999999</v>
      </c>
      <c r="E16" s="5">
        <v>0</v>
      </c>
      <c r="F16" s="6">
        <f t="shared" si="0"/>
        <v>326.19</v>
      </c>
      <c r="G16" s="7">
        <f>B16/744*1.29</f>
        <v>0.56312314516129036</v>
      </c>
      <c r="H16" s="5">
        <f>C16/720*1.33</f>
        <v>0</v>
      </c>
      <c r="I16" s="7">
        <f>D16/744*1.21</f>
        <v>2.2963978494623654E-3</v>
      </c>
      <c r="J16" s="5">
        <f>E16/720*1.13</f>
        <v>0</v>
      </c>
      <c r="K16" s="8">
        <f t="shared" si="2"/>
        <v>0.5654195430107527</v>
      </c>
      <c r="M16" s="9"/>
    </row>
    <row r="17" spans="1:13" x14ac:dyDescent="0.25">
      <c r="A17" s="3" t="s">
        <v>35</v>
      </c>
      <c r="B17" s="5">
        <v>0</v>
      </c>
      <c r="C17" s="5">
        <v>0</v>
      </c>
      <c r="D17" s="4">
        <v>496.26299999999998</v>
      </c>
      <c r="E17" s="5">
        <v>0</v>
      </c>
      <c r="F17" s="6">
        <f t="shared" si="0"/>
        <v>496.26299999999998</v>
      </c>
      <c r="G17" s="5">
        <f t="shared" ref="G17:J17" si="3">B17/720*1.33</f>
        <v>0</v>
      </c>
      <c r="H17" s="5">
        <f t="shared" si="3"/>
        <v>0</v>
      </c>
      <c r="I17" s="7">
        <v>0.78900000000000003</v>
      </c>
      <c r="J17" s="5">
        <f t="shared" si="3"/>
        <v>0</v>
      </c>
      <c r="K17" s="8">
        <f t="shared" si="2"/>
        <v>0.78900000000000003</v>
      </c>
      <c r="M17" s="9"/>
    </row>
    <row r="18" spans="1:13" x14ac:dyDescent="0.25">
      <c r="A18" s="13" t="s">
        <v>22</v>
      </c>
      <c r="B18" s="4">
        <v>201.607</v>
      </c>
      <c r="C18" s="10">
        <v>0</v>
      </c>
      <c r="D18" s="10">
        <v>0</v>
      </c>
      <c r="E18" s="10">
        <v>0</v>
      </c>
      <c r="F18" s="6">
        <f t="shared" si="0"/>
        <v>201.607</v>
      </c>
      <c r="G18" s="7">
        <f>B18/744*1.35</f>
        <v>0.36581915322580644</v>
      </c>
      <c r="H18" s="5">
        <f t="shared" ref="H18:J18" si="4">C18/720*1.19</f>
        <v>0</v>
      </c>
      <c r="I18" s="5">
        <f t="shared" si="4"/>
        <v>0</v>
      </c>
      <c r="J18" s="5">
        <f t="shared" si="4"/>
        <v>0</v>
      </c>
      <c r="K18" s="8">
        <f t="shared" si="2"/>
        <v>0.36581915322580644</v>
      </c>
      <c r="M18" s="9"/>
    </row>
    <row r="19" spans="1:13" x14ac:dyDescent="0.25">
      <c r="A19" s="3" t="s">
        <v>14</v>
      </c>
      <c r="B19" s="5">
        <v>0</v>
      </c>
      <c r="C19" s="5">
        <v>0</v>
      </c>
      <c r="D19" s="4">
        <v>409.67</v>
      </c>
      <c r="E19" s="5">
        <v>0</v>
      </c>
      <c r="F19" s="6">
        <f t="shared" si="0"/>
        <v>409.67</v>
      </c>
      <c r="G19" s="5">
        <f>B19/720*1.13</f>
        <v>0</v>
      </c>
      <c r="H19" s="5">
        <f>C19/720*1.13</f>
        <v>0</v>
      </c>
      <c r="I19" s="7">
        <f>D19/744*1.42</f>
        <v>0.78189704301075269</v>
      </c>
      <c r="J19" s="5">
        <f>E19/720*1.13</f>
        <v>0</v>
      </c>
      <c r="K19" s="8">
        <f t="shared" si="2"/>
        <v>0.78189704301075269</v>
      </c>
      <c r="M19" s="9"/>
    </row>
    <row r="20" spans="1:13" x14ac:dyDescent="0.25">
      <c r="A20" s="3" t="s">
        <v>18</v>
      </c>
      <c r="B20" s="5">
        <v>0</v>
      </c>
      <c r="C20" s="7">
        <v>306.71300000000002</v>
      </c>
      <c r="D20" s="10">
        <v>0</v>
      </c>
      <c r="E20" s="10">
        <v>0</v>
      </c>
      <c r="F20" s="6">
        <f t="shared" si="0"/>
        <v>306.71300000000002</v>
      </c>
      <c r="G20" s="5">
        <f>B20/720*1.19</f>
        <v>0</v>
      </c>
      <c r="H20" s="7">
        <f>C20/744*1.35</f>
        <v>0.556535685483871</v>
      </c>
      <c r="I20" s="5">
        <f>D20/720*1.25</f>
        <v>0</v>
      </c>
      <c r="J20" s="5">
        <f>E20/720*1.25</f>
        <v>0</v>
      </c>
      <c r="K20" s="8">
        <f t="shared" si="2"/>
        <v>0.556535685483871</v>
      </c>
      <c r="M20" s="9"/>
    </row>
    <row r="21" spans="1:13" x14ac:dyDescent="0.25">
      <c r="A21" s="3" t="s">
        <v>28</v>
      </c>
      <c r="B21" s="4">
        <f>2331.622+92.227</f>
        <v>2423.8489999999997</v>
      </c>
      <c r="C21" s="7">
        <v>274.74200000000002</v>
      </c>
      <c r="D21" s="4">
        <v>1157.837</v>
      </c>
      <c r="E21" s="5">
        <v>0</v>
      </c>
      <c r="F21" s="6">
        <f t="shared" si="0"/>
        <v>3856.4279999999999</v>
      </c>
      <c r="G21" s="7">
        <f>B21/744*1.22</f>
        <v>3.9745911021505367</v>
      </c>
      <c r="H21" s="7">
        <f>C21/744*1.22</f>
        <v>0.45051779569892469</v>
      </c>
      <c r="I21" s="7">
        <f>D21/744*1.31</f>
        <v>2.0386646102150539</v>
      </c>
      <c r="J21" s="5">
        <f>E21/720*1.13</f>
        <v>0</v>
      </c>
      <c r="K21" s="8">
        <f t="shared" si="2"/>
        <v>6.4637735080645147</v>
      </c>
      <c r="M21" s="9"/>
    </row>
    <row r="22" spans="1:13" x14ac:dyDescent="0.25">
      <c r="A22" s="3" t="s">
        <v>12</v>
      </c>
      <c r="B22" s="5">
        <v>0</v>
      </c>
      <c r="C22" s="5">
        <v>0</v>
      </c>
      <c r="D22" s="4">
        <v>1366.9880000000001</v>
      </c>
      <c r="E22" s="5">
        <v>0</v>
      </c>
      <c r="F22" s="6">
        <f t="shared" si="0"/>
        <v>1366.9880000000001</v>
      </c>
      <c r="G22" s="5">
        <f>B22/720*1.13</f>
        <v>0</v>
      </c>
      <c r="H22" s="5">
        <f>C22/720*1.23</f>
        <v>0</v>
      </c>
      <c r="I22" s="7">
        <f>D22/744*1.31</f>
        <v>2.406927795698925</v>
      </c>
      <c r="J22" s="5">
        <f>E22/720*1.13</f>
        <v>0</v>
      </c>
      <c r="K22" s="8">
        <f t="shared" si="2"/>
        <v>2.406927795698925</v>
      </c>
      <c r="M22" s="9"/>
    </row>
    <row r="23" spans="1:13" x14ac:dyDescent="0.25">
      <c r="A23" s="3" t="s">
        <v>11</v>
      </c>
      <c r="B23" s="4">
        <v>925.23</v>
      </c>
      <c r="C23" s="5">
        <v>0</v>
      </c>
      <c r="D23" s="5">
        <v>0</v>
      </c>
      <c r="E23" s="5">
        <v>0</v>
      </c>
      <c r="F23" s="6">
        <f t="shared" si="0"/>
        <v>925.23</v>
      </c>
      <c r="G23" s="7">
        <f>B23/744*1.28</f>
        <v>1.5917935483870969</v>
      </c>
      <c r="H23" s="5">
        <f>C23/720*1.13</f>
        <v>0</v>
      </c>
      <c r="I23" s="5">
        <f>D23/720*1.13</f>
        <v>0</v>
      </c>
      <c r="J23" s="5">
        <f>E23/720*1.13</f>
        <v>0</v>
      </c>
      <c r="K23" s="8">
        <f t="shared" si="2"/>
        <v>1.5917935483870969</v>
      </c>
      <c r="M23" s="9"/>
    </row>
    <row r="24" spans="1:13" x14ac:dyDescent="0.25">
      <c r="A24" s="3" t="s">
        <v>29</v>
      </c>
      <c r="B24" s="5">
        <v>0</v>
      </c>
      <c r="C24" s="5">
        <v>0</v>
      </c>
      <c r="D24" s="4">
        <v>18.128</v>
      </c>
      <c r="E24" s="5">
        <v>0</v>
      </c>
      <c r="F24" s="6">
        <f t="shared" si="0"/>
        <v>18.128</v>
      </c>
      <c r="G24" s="5">
        <f>B24/720*1.13</f>
        <v>0</v>
      </c>
      <c r="H24" s="5">
        <f>C24/720*1.23</f>
        <v>0</v>
      </c>
      <c r="I24" s="7">
        <f>D24/744*1.68</f>
        <v>4.09341935483871E-2</v>
      </c>
      <c r="J24" s="5">
        <f>E24/720*1.13</f>
        <v>0</v>
      </c>
      <c r="K24" s="8">
        <f t="shared" si="2"/>
        <v>4.09341935483871E-2</v>
      </c>
      <c r="M24" s="9"/>
    </row>
    <row r="25" spans="1:13" x14ac:dyDescent="0.25">
      <c r="A25" s="3" t="s">
        <v>10</v>
      </c>
      <c r="B25" s="4">
        <f>1.95+275.46</f>
        <v>277.40999999999997</v>
      </c>
      <c r="C25" s="5">
        <v>0</v>
      </c>
      <c r="D25" s="4">
        <f>242.385+12.408</f>
        <v>254.79299999999998</v>
      </c>
      <c r="E25" s="4">
        <f>74.247+8.472</f>
        <v>82.718999999999994</v>
      </c>
      <c r="F25" s="6">
        <f t="shared" si="0"/>
        <v>614.92200000000003</v>
      </c>
      <c r="G25" s="7">
        <f>B25/744*1.22</f>
        <v>0.45489274193548379</v>
      </c>
      <c r="H25" s="5">
        <f>C25/720*1.13</f>
        <v>0</v>
      </c>
      <c r="I25" s="7">
        <f>D25/744*1.24</f>
        <v>0.424655</v>
      </c>
      <c r="J25" s="7">
        <f>E25/744*1.31</f>
        <v>0.14564770161290322</v>
      </c>
      <c r="K25" s="8">
        <f t="shared" si="2"/>
        <v>1.025195443548387</v>
      </c>
      <c r="M25" s="9"/>
    </row>
    <row r="26" spans="1:13" x14ac:dyDescent="0.25">
      <c r="A26" s="3" t="s">
        <v>30</v>
      </c>
      <c r="B26" s="4">
        <v>96.106999999999999</v>
      </c>
      <c r="C26" s="5">
        <v>0</v>
      </c>
      <c r="D26" s="4">
        <v>1041.9670000000001</v>
      </c>
      <c r="E26" s="4">
        <v>853.64099999999996</v>
      </c>
      <c r="F26" s="6">
        <f t="shared" si="0"/>
        <v>1991.7150000000001</v>
      </c>
      <c r="G26" s="7">
        <f>B26/744*1.25</f>
        <v>0.16147009408602148</v>
      </c>
      <c r="H26" s="5">
        <f>C26/720*1.13</f>
        <v>0</v>
      </c>
      <c r="I26" s="7">
        <f>D26/744*1.32</f>
        <v>1.8486511290322583</v>
      </c>
      <c r="J26" s="7">
        <v>1.631</v>
      </c>
      <c r="K26" s="8">
        <f t="shared" si="2"/>
        <v>3.6411212231182795</v>
      </c>
      <c r="M26" s="9"/>
    </row>
    <row r="27" spans="1:13" x14ac:dyDescent="0.25">
      <c r="A27" s="3" t="s">
        <v>8</v>
      </c>
      <c r="B27" s="5">
        <v>0</v>
      </c>
      <c r="C27" s="5">
        <v>0</v>
      </c>
      <c r="D27" s="4">
        <v>102.48</v>
      </c>
      <c r="E27" s="5">
        <v>0</v>
      </c>
      <c r="F27" s="6">
        <f t="shared" si="0"/>
        <v>102.48</v>
      </c>
      <c r="G27" s="5">
        <f>B27/720*1.114</f>
        <v>0</v>
      </c>
      <c r="H27" s="5">
        <f t="shared" ref="H27" si="5">C27/720*1.13</f>
        <v>0</v>
      </c>
      <c r="I27" s="7">
        <f>D27/744*1.32</f>
        <v>0.1818193548387097</v>
      </c>
      <c r="J27" s="5">
        <f>E27/720*1.19</f>
        <v>0</v>
      </c>
      <c r="K27" s="8">
        <f t="shared" si="2"/>
        <v>0.1818193548387097</v>
      </c>
      <c r="M27" s="9"/>
    </row>
    <row r="28" spans="1:13" x14ac:dyDescent="0.25">
      <c r="A28" s="3" t="s">
        <v>15</v>
      </c>
      <c r="B28" s="5">
        <v>0</v>
      </c>
      <c r="C28" s="5">
        <v>0</v>
      </c>
      <c r="D28" s="4">
        <v>159.39699999999999</v>
      </c>
      <c r="E28" s="5">
        <v>0</v>
      </c>
      <c r="F28" s="6">
        <f t="shared" si="0"/>
        <v>159.39699999999999</v>
      </c>
      <c r="G28" s="5">
        <f t="shared" ref="G28:H28" si="6">B28/720*1.13</f>
        <v>0</v>
      </c>
      <c r="H28" s="5">
        <f t="shared" si="6"/>
        <v>0</v>
      </c>
      <c r="I28" s="7">
        <f>D28/744*1.33</f>
        <v>0.28494356182795699</v>
      </c>
      <c r="J28" s="5">
        <f>E28/720*1.13</f>
        <v>0</v>
      </c>
      <c r="K28" s="8">
        <f t="shared" si="2"/>
        <v>0.28494356182795699</v>
      </c>
      <c r="M28" s="9"/>
    </row>
    <row r="29" spans="1:13" ht="15.75" thickBot="1" x14ac:dyDescent="0.3">
      <c r="A29" s="14" t="s">
        <v>23</v>
      </c>
      <c r="B29" s="15">
        <f t="shared" ref="B29:K29" si="7">SUM(B7:B28)</f>
        <v>26404.62</v>
      </c>
      <c r="C29" s="15">
        <f t="shared" si="7"/>
        <v>3918.0820000000003</v>
      </c>
      <c r="D29" s="15">
        <f t="shared" si="7"/>
        <v>14682.168000000001</v>
      </c>
      <c r="E29" s="15">
        <f t="shared" si="7"/>
        <v>1058.675</v>
      </c>
      <c r="F29" s="15">
        <f t="shared" si="7"/>
        <v>46063.545000000006</v>
      </c>
      <c r="G29" s="15">
        <f t="shared" si="7"/>
        <v>46.023690179332547</v>
      </c>
      <c r="H29" s="15">
        <f t="shared" si="7"/>
        <v>6.6893966801075271</v>
      </c>
      <c r="I29" s="15">
        <f t="shared" si="7"/>
        <v>25.562230406810041</v>
      </c>
      <c r="J29" s="15">
        <f t="shared" si="7"/>
        <v>2.0020964247311825</v>
      </c>
      <c r="K29" s="16">
        <f t="shared" si="7"/>
        <v>80.277413690981291</v>
      </c>
    </row>
    <row r="30" spans="1:13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3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0971F-7B41-4ECD-AB0E-521A55CBD31F}">
  <dimension ref="A2:M31"/>
  <sheetViews>
    <sheetView zoomScale="130" zoomScaleNormal="130" workbookViewId="0">
      <selection activeCell="G25" sqref="G25:J25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36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803.15300000000002</v>
      </c>
      <c r="C7" s="5">
        <v>0</v>
      </c>
      <c r="D7" s="4">
        <v>524.79700000000003</v>
      </c>
      <c r="E7" s="5">
        <v>0</v>
      </c>
      <c r="F7" s="6">
        <f t="shared" ref="F7:F28" si="0">B7+C7+D7+E7</f>
        <v>1327.95</v>
      </c>
      <c r="G7" s="7">
        <f>B7/744*1.4</f>
        <v>1.5113094086021506</v>
      </c>
      <c r="H7" s="5">
        <f t="shared" ref="H7" si="1">C7/720*1.13</f>
        <v>0</v>
      </c>
      <c r="I7" s="7">
        <f>D7/744*1.39</f>
        <v>0.98046751344086014</v>
      </c>
      <c r="J7" s="5">
        <f>E7/720*1.13</f>
        <v>0</v>
      </c>
      <c r="K7" s="8">
        <f t="shared" ref="K7:K28" si="2">G7+H7+I7+J7</f>
        <v>2.4917769220430106</v>
      </c>
      <c r="M7" s="9"/>
    </row>
    <row r="8" spans="1:13" x14ac:dyDescent="0.25">
      <c r="A8" s="3" t="s">
        <v>9</v>
      </c>
      <c r="B8" s="4">
        <v>824.82799999999997</v>
      </c>
      <c r="C8" s="5">
        <v>0</v>
      </c>
      <c r="D8" s="5">
        <v>0</v>
      </c>
      <c r="E8" s="5">
        <v>0</v>
      </c>
      <c r="F8" s="6">
        <f t="shared" si="0"/>
        <v>824.82799999999997</v>
      </c>
      <c r="G8" s="7">
        <f>B8/740*1.5</f>
        <v>1.6719486486486486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si="2"/>
        <v>1.6719486486486486</v>
      </c>
      <c r="M8" s="9"/>
    </row>
    <row r="9" spans="1:13" x14ac:dyDescent="0.25">
      <c r="A9" s="3" t="s">
        <v>32</v>
      </c>
      <c r="B9" s="7">
        <v>81.19</v>
      </c>
      <c r="C9" s="5">
        <v>0</v>
      </c>
      <c r="D9" s="4">
        <f>1223.094+1882.167</f>
        <v>3105.261</v>
      </c>
      <c r="E9" s="4">
        <v>50.972999999999999</v>
      </c>
      <c r="F9" s="6">
        <f t="shared" si="0"/>
        <v>3237.424</v>
      </c>
      <c r="G9" s="7">
        <f>B9/720*1.33</f>
        <v>0.14997597222222223</v>
      </c>
      <c r="H9" s="5">
        <f>C9/720*1.13</f>
        <v>0</v>
      </c>
      <c r="I9" s="7">
        <f>D9/720*1.19</f>
        <v>5.1323063749999989</v>
      </c>
      <c r="J9" s="7">
        <v>9.8000000000000004E-2</v>
      </c>
      <c r="K9" s="8">
        <f t="shared" si="2"/>
        <v>5.380282347222221</v>
      </c>
      <c r="M9" s="9"/>
    </row>
    <row r="10" spans="1:13" x14ac:dyDescent="0.25">
      <c r="A10" s="3" t="s">
        <v>19</v>
      </c>
      <c r="B10" s="4">
        <f>1345.926+904.427</f>
        <v>2250.3530000000001</v>
      </c>
      <c r="C10" s="5">
        <v>0</v>
      </c>
      <c r="D10" s="10">
        <v>0</v>
      </c>
      <c r="E10" s="10">
        <v>0</v>
      </c>
      <c r="F10" s="6">
        <f t="shared" si="0"/>
        <v>2250.3530000000001</v>
      </c>
      <c r="G10" s="7">
        <f>B10/744*1.27</f>
        <v>3.8413283736559141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2"/>
        <v>3.8413283736559141</v>
      </c>
      <c r="M10" s="9"/>
    </row>
    <row r="11" spans="1:13" x14ac:dyDescent="0.25">
      <c r="A11" s="3" t="s">
        <v>26</v>
      </c>
      <c r="B11" s="4">
        <f>8342.923+1038.856</f>
        <v>9381.7790000000005</v>
      </c>
      <c r="C11" s="4">
        <v>1651.3019999999999</v>
      </c>
      <c r="D11" s="4">
        <f>2132.228+350.374</f>
        <v>2482.6019999999999</v>
      </c>
      <c r="E11" s="7">
        <f>15.282+21.614</f>
        <v>36.896000000000001</v>
      </c>
      <c r="F11" s="6">
        <f t="shared" si="0"/>
        <v>13552.579000000002</v>
      </c>
      <c r="G11" s="7">
        <f>B11/744*1.35</f>
        <v>17.02338931451613</v>
      </c>
      <c r="H11" s="7">
        <v>3.016</v>
      </c>
      <c r="I11" s="7">
        <f>D11/744*1.29</f>
        <v>4.304511532258064</v>
      </c>
      <c r="J11" s="7">
        <f>E11/744*1.26</f>
        <v>6.2485161290322576E-2</v>
      </c>
      <c r="K11" s="8">
        <f t="shared" si="2"/>
        <v>24.406386008064516</v>
      </c>
      <c r="M11" s="9"/>
    </row>
    <row r="12" spans="1:13" x14ac:dyDescent="0.25">
      <c r="A12" s="3" t="s">
        <v>21</v>
      </c>
      <c r="B12" s="10">
        <v>0</v>
      </c>
      <c r="C12" s="4">
        <f>674.538+437.179</f>
        <v>1111.7170000000001</v>
      </c>
      <c r="D12" s="4">
        <f>155.447+43.769</f>
        <v>199.21600000000001</v>
      </c>
      <c r="E12" s="10">
        <v>0</v>
      </c>
      <c r="F12" s="6">
        <f t="shared" si="0"/>
        <v>1310.933</v>
      </c>
      <c r="G12" s="5">
        <f>B12/720*1.19</f>
        <v>0</v>
      </c>
      <c r="H12" s="7">
        <f>C12/744*1.28</f>
        <v>1.9126313978494625</v>
      </c>
      <c r="I12" s="7">
        <f>D12/744*1.29</f>
        <v>0.34541483870967749</v>
      </c>
      <c r="J12" s="5">
        <f>E12/720*1.25</f>
        <v>0</v>
      </c>
      <c r="K12" s="8">
        <f t="shared" si="2"/>
        <v>2.2580462365591401</v>
      </c>
      <c r="M12" s="9"/>
    </row>
    <row r="13" spans="1:13" x14ac:dyDescent="0.25">
      <c r="A13" s="3" t="s">
        <v>13</v>
      </c>
      <c r="B13" s="4">
        <v>3353.0030000000002</v>
      </c>
      <c r="C13" s="4">
        <v>590.98500000000001</v>
      </c>
      <c r="D13" s="4">
        <v>41.079000000000001</v>
      </c>
      <c r="E13" s="5">
        <v>0</v>
      </c>
      <c r="F13" s="6">
        <f t="shared" si="0"/>
        <v>3985.0670000000005</v>
      </c>
      <c r="G13" s="7">
        <v>5.4560000000000004</v>
      </c>
      <c r="H13" s="7">
        <v>0.89600000000000002</v>
      </c>
      <c r="I13" s="7">
        <f>D13/744*1.07</f>
        <v>5.9078669354838714E-2</v>
      </c>
      <c r="J13" s="5">
        <f>E13/720*1.13</f>
        <v>0</v>
      </c>
      <c r="K13" s="8">
        <f t="shared" si="2"/>
        <v>6.4110786693548389</v>
      </c>
      <c r="M13" s="9"/>
    </row>
    <row r="14" spans="1:13" x14ac:dyDescent="0.25">
      <c r="A14" s="3" t="s">
        <v>16</v>
      </c>
      <c r="B14" s="4">
        <f>332.555+1926.224</f>
        <v>2258.779</v>
      </c>
      <c r="C14" s="5">
        <v>0</v>
      </c>
      <c r="D14" s="4">
        <f>694.641+313.82+4147.161+1260.624</f>
        <v>6416.2460000000001</v>
      </c>
      <c r="E14" s="7">
        <v>43.540999999999997</v>
      </c>
      <c r="F14" s="6">
        <f t="shared" si="0"/>
        <v>8718.5659999999989</v>
      </c>
      <c r="G14" s="7">
        <f>B14/744*1.35</f>
        <v>4.0985909274193553</v>
      </c>
      <c r="H14" s="5">
        <f>C14/720*1.13</f>
        <v>0</v>
      </c>
      <c r="I14" s="7">
        <f>D14/744*1.38</f>
        <v>11.901101451612902</v>
      </c>
      <c r="J14" s="7">
        <f>E14/744*1.27</f>
        <v>7.4324018817204296E-2</v>
      </c>
      <c r="K14" s="8">
        <f t="shared" si="2"/>
        <v>16.074016397849462</v>
      </c>
      <c r="M14" s="9"/>
    </row>
    <row r="15" spans="1:13" x14ac:dyDescent="0.25">
      <c r="A15" s="11" t="s">
        <v>27</v>
      </c>
      <c r="B15" s="12">
        <f>1966.489</f>
        <v>1966.489</v>
      </c>
      <c r="C15" s="5">
        <v>0</v>
      </c>
      <c r="D15" s="5">
        <v>0</v>
      </c>
      <c r="E15" s="5">
        <v>0</v>
      </c>
      <c r="F15" s="6">
        <f t="shared" si="0"/>
        <v>1966.489</v>
      </c>
      <c r="G15" s="7">
        <v>2.996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2"/>
        <v>2.996</v>
      </c>
      <c r="M15" s="9"/>
    </row>
    <row r="16" spans="1:13" x14ac:dyDescent="0.25">
      <c r="A16" s="3" t="s">
        <v>20</v>
      </c>
      <c r="B16" s="4">
        <v>311.58800000000002</v>
      </c>
      <c r="C16" s="5">
        <v>0</v>
      </c>
      <c r="D16" s="4">
        <v>16.076000000000001</v>
      </c>
      <c r="E16" s="5">
        <v>0</v>
      </c>
      <c r="F16" s="6">
        <f t="shared" si="0"/>
        <v>327.66400000000004</v>
      </c>
      <c r="G16" s="7">
        <f>B16/744*1.28</f>
        <v>0.53606537634408602</v>
      </c>
      <c r="H16" s="5">
        <f>C16/720*1.33</f>
        <v>0</v>
      </c>
      <c r="I16" s="7">
        <f>D16/744*1.22</f>
        <v>2.6361182795698924E-2</v>
      </c>
      <c r="J16" s="5">
        <f>E16/720*1.13</f>
        <v>0</v>
      </c>
      <c r="K16" s="8">
        <f t="shared" si="2"/>
        <v>0.5624265591397849</v>
      </c>
      <c r="M16" s="9"/>
    </row>
    <row r="17" spans="1:13" x14ac:dyDescent="0.25">
      <c r="A17" s="3" t="s">
        <v>35</v>
      </c>
      <c r="B17" s="5">
        <v>0</v>
      </c>
      <c r="C17" s="5">
        <v>0</v>
      </c>
      <c r="D17" s="4">
        <v>413.00299999999999</v>
      </c>
      <c r="E17" s="5">
        <v>0</v>
      </c>
      <c r="F17" s="6">
        <f t="shared" si="0"/>
        <v>413.00299999999999</v>
      </c>
      <c r="G17" s="5">
        <f t="shared" ref="G17:J17" si="3">B17/720*1.33</f>
        <v>0</v>
      </c>
      <c r="H17" s="5">
        <f t="shared" si="3"/>
        <v>0</v>
      </c>
      <c r="I17" s="7">
        <v>0.74199999999999999</v>
      </c>
      <c r="J17" s="5">
        <f t="shared" si="3"/>
        <v>0</v>
      </c>
      <c r="K17" s="8">
        <f t="shared" si="2"/>
        <v>0.74199999999999999</v>
      </c>
      <c r="M17" s="9"/>
    </row>
    <row r="18" spans="1:13" x14ac:dyDescent="0.25">
      <c r="A18" s="13" t="s">
        <v>22</v>
      </c>
      <c r="B18" s="4">
        <v>216.047</v>
      </c>
      <c r="C18" s="10">
        <v>0</v>
      </c>
      <c r="D18" s="10">
        <v>0</v>
      </c>
      <c r="E18" s="10">
        <v>0</v>
      </c>
      <c r="F18" s="6">
        <f t="shared" si="0"/>
        <v>216.047</v>
      </c>
      <c r="G18" s="7">
        <f>B18/744*1.36</f>
        <v>0.39492462365591396</v>
      </c>
      <c r="H18" s="5">
        <f t="shared" ref="H18:J18" si="4">C18/720*1.19</f>
        <v>0</v>
      </c>
      <c r="I18" s="5">
        <f t="shared" si="4"/>
        <v>0</v>
      </c>
      <c r="J18" s="5">
        <f t="shared" si="4"/>
        <v>0</v>
      </c>
      <c r="K18" s="8">
        <f t="shared" si="2"/>
        <v>0.39492462365591396</v>
      </c>
      <c r="M18" s="9"/>
    </row>
    <row r="19" spans="1:13" x14ac:dyDescent="0.25">
      <c r="A19" s="3" t="s">
        <v>14</v>
      </c>
      <c r="B19" s="5">
        <v>0</v>
      </c>
      <c r="C19" s="5">
        <v>0</v>
      </c>
      <c r="D19" s="4">
        <v>448.149</v>
      </c>
      <c r="E19" s="5">
        <v>0</v>
      </c>
      <c r="F19" s="6">
        <f t="shared" si="0"/>
        <v>448.149</v>
      </c>
      <c r="G19" s="5">
        <f>B19/720*1.13</f>
        <v>0</v>
      </c>
      <c r="H19" s="5">
        <f>C19/720*1.13</f>
        <v>0</v>
      </c>
      <c r="I19" s="7">
        <f>D19/744*1.48</f>
        <v>0.89147919354838701</v>
      </c>
      <c r="J19" s="5">
        <f>E19/720*1.13</f>
        <v>0</v>
      </c>
      <c r="K19" s="8">
        <f t="shared" si="2"/>
        <v>0.89147919354838701</v>
      </c>
      <c r="M19" s="9"/>
    </row>
    <row r="20" spans="1:13" x14ac:dyDescent="0.25">
      <c r="A20" s="3" t="s">
        <v>18</v>
      </c>
      <c r="B20" s="5">
        <v>0</v>
      </c>
      <c r="C20" s="7">
        <v>314.55</v>
      </c>
      <c r="D20" s="10">
        <v>0</v>
      </c>
      <c r="E20" s="10">
        <v>0</v>
      </c>
      <c r="F20" s="6">
        <f t="shared" si="0"/>
        <v>314.55</v>
      </c>
      <c r="G20" s="5">
        <f>B20/720*1.19</f>
        <v>0</v>
      </c>
      <c r="H20" s="7">
        <f>C20/744*1.36</f>
        <v>0.57498387096774195</v>
      </c>
      <c r="I20" s="5">
        <f>D20/720*1.25</f>
        <v>0</v>
      </c>
      <c r="J20" s="5">
        <f>E20/720*1.25</f>
        <v>0</v>
      </c>
      <c r="K20" s="8">
        <f t="shared" si="2"/>
        <v>0.57498387096774195</v>
      </c>
      <c r="M20" s="9"/>
    </row>
    <row r="21" spans="1:13" x14ac:dyDescent="0.25">
      <c r="A21" s="3" t="s">
        <v>28</v>
      </c>
      <c r="B21" s="4">
        <f>1335.132+57.119</f>
        <v>1392.251</v>
      </c>
      <c r="C21" s="7">
        <v>184.697</v>
      </c>
      <c r="D21" s="4">
        <v>1376.0319999999999</v>
      </c>
      <c r="E21" s="5">
        <v>0</v>
      </c>
      <c r="F21" s="6">
        <f t="shared" si="0"/>
        <v>2952.9799999999996</v>
      </c>
      <c r="G21" s="7">
        <f>B21/744*1.23</f>
        <v>2.3017052822580641</v>
      </c>
      <c r="H21" s="7">
        <f>C21/744*1.24</f>
        <v>0.30782833333333331</v>
      </c>
      <c r="I21" s="7">
        <f>D21/744*1.33</f>
        <v>2.4598421505376344</v>
      </c>
      <c r="J21" s="5">
        <f>E21/720*1.13</f>
        <v>0</v>
      </c>
      <c r="K21" s="8">
        <f t="shared" si="2"/>
        <v>5.0693757661290313</v>
      </c>
      <c r="M21" s="9"/>
    </row>
    <row r="22" spans="1:13" x14ac:dyDescent="0.25">
      <c r="A22" s="3" t="s">
        <v>12</v>
      </c>
      <c r="B22" s="5">
        <v>0</v>
      </c>
      <c r="C22" s="5">
        <v>0</v>
      </c>
      <c r="D22" s="4">
        <v>1368.6690000000001</v>
      </c>
      <c r="E22" s="5">
        <v>0</v>
      </c>
      <c r="F22" s="6">
        <f t="shared" si="0"/>
        <v>1368.6690000000001</v>
      </c>
      <c r="G22" s="5">
        <f>B22/720*1.13</f>
        <v>0</v>
      </c>
      <c r="H22" s="5">
        <f>C22/720*1.23</f>
        <v>0</v>
      </c>
      <c r="I22" s="7">
        <f>D22/744*1.32</f>
        <v>2.4282837096774195</v>
      </c>
      <c r="J22" s="5">
        <f>E22/720*1.13</f>
        <v>0</v>
      </c>
      <c r="K22" s="8">
        <f t="shared" si="2"/>
        <v>2.4282837096774195</v>
      </c>
      <c r="M22" s="9"/>
    </row>
    <row r="23" spans="1:13" x14ac:dyDescent="0.25">
      <c r="A23" s="3" t="s">
        <v>11</v>
      </c>
      <c r="B23" s="4">
        <v>979.22299999999996</v>
      </c>
      <c r="C23" s="5">
        <v>0</v>
      </c>
      <c r="D23" s="5">
        <v>0</v>
      </c>
      <c r="E23" s="5">
        <v>0</v>
      </c>
      <c r="F23" s="6">
        <f t="shared" si="0"/>
        <v>979.22299999999996</v>
      </c>
      <c r="G23" s="7">
        <f>B23/744*1.29</f>
        <v>1.6978463306451614</v>
      </c>
      <c r="H23" s="5">
        <f>C23/720*1.13</f>
        <v>0</v>
      </c>
      <c r="I23" s="5">
        <f>D23/720*1.13</f>
        <v>0</v>
      </c>
      <c r="J23" s="5">
        <f>E23/720*1.13</f>
        <v>0</v>
      </c>
      <c r="K23" s="8">
        <f t="shared" si="2"/>
        <v>1.6978463306451614</v>
      </c>
      <c r="M23" s="9"/>
    </row>
    <row r="24" spans="1:13" x14ac:dyDescent="0.25">
      <c r="A24" s="3" t="s">
        <v>29</v>
      </c>
      <c r="B24" s="5">
        <v>0</v>
      </c>
      <c r="C24" s="5">
        <v>0</v>
      </c>
      <c r="D24" s="4">
        <v>16.645</v>
      </c>
      <c r="E24" s="5">
        <v>0</v>
      </c>
      <c r="F24" s="6">
        <f t="shared" si="0"/>
        <v>16.645</v>
      </c>
      <c r="G24" s="5">
        <f>B24/720*1.13</f>
        <v>0</v>
      </c>
      <c r="H24" s="5">
        <f>C24/720*1.23</f>
        <v>0</v>
      </c>
      <c r="I24" s="7">
        <f>D24/744*1.69</f>
        <v>3.7809206989247314E-2</v>
      </c>
      <c r="J24" s="5">
        <f>E24/720*1.13</f>
        <v>0</v>
      </c>
      <c r="K24" s="8">
        <f t="shared" si="2"/>
        <v>3.7809206989247314E-2</v>
      </c>
      <c r="M24" s="9"/>
    </row>
    <row r="25" spans="1:13" x14ac:dyDescent="0.25">
      <c r="A25" s="3" t="s">
        <v>10</v>
      </c>
      <c r="B25" s="4">
        <f>1.912+496.248</f>
        <v>498.15999999999997</v>
      </c>
      <c r="C25" s="5">
        <v>0</v>
      </c>
      <c r="D25" s="4">
        <f>274.042+13.747</f>
        <v>287.78899999999999</v>
      </c>
      <c r="E25" s="4">
        <f>79.388+8.953</f>
        <v>88.341000000000008</v>
      </c>
      <c r="F25" s="6">
        <f t="shared" si="0"/>
        <v>874.29</v>
      </c>
      <c r="G25" s="7">
        <f>B25/744*1.25</f>
        <v>0.83696236559139781</v>
      </c>
      <c r="H25" s="5">
        <f>C25/720*1.13</f>
        <v>0</v>
      </c>
      <c r="I25" s="7">
        <f>D25/744*1.26</f>
        <v>0.48738459677419355</v>
      </c>
      <c r="J25" s="7">
        <f>E25/744*1.3</f>
        <v>0.15435927419354842</v>
      </c>
      <c r="K25" s="8">
        <f t="shared" si="2"/>
        <v>1.4787062365591399</v>
      </c>
      <c r="M25" s="9"/>
    </row>
    <row r="26" spans="1:13" x14ac:dyDescent="0.25">
      <c r="A26" s="3" t="s">
        <v>30</v>
      </c>
      <c r="B26" s="4">
        <v>96.159000000000006</v>
      </c>
      <c r="C26" s="5">
        <v>0</v>
      </c>
      <c r="D26" s="4">
        <v>1119.7760000000001</v>
      </c>
      <c r="E26" s="4">
        <v>938.66600000000005</v>
      </c>
      <c r="F26" s="6">
        <f t="shared" si="0"/>
        <v>2154.6010000000001</v>
      </c>
      <c r="G26" s="7">
        <f>B26/744*1.26</f>
        <v>0.16284991935483872</v>
      </c>
      <c r="H26" s="5">
        <f>C26/720*1.13</f>
        <v>0</v>
      </c>
      <c r="I26" s="7">
        <f>D26/744*1.34</f>
        <v>2.0168008602150542</v>
      </c>
      <c r="J26" s="7">
        <v>1.758</v>
      </c>
      <c r="K26" s="8">
        <f t="shared" si="2"/>
        <v>3.9376507795698927</v>
      </c>
      <c r="M26" s="9"/>
    </row>
    <row r="27" spans="1:13" x14ac:dyDescent="0.25">
      <c r="A27" s="3" t="s">
        <v>8</v>
      </c>
      <c r="B27" s="5">
        <v>0</v>
      </c>
      <c r="C27" s="5">
        <v>0</v>
      </c>
      <c r="D27" s="4">
        <v>103.663</v>
      </c>
      <c r="E27" s="5">
        <v>0</v>
      </c>
      <c r="F27" s="6">
        <f t="shared" si="0"/>
        <v>103.663</v>
      </c>
      <c r="G27" s="5">
        <f>B27/720*1.114</f>
        <v>0</v>
      </c>
      <c r="H27" s="5">
        <f t="shared" ref="H27" si="5">C27/720*1.13</f>
        <v>0</v>
      </c>
      <c r="I27" s="7">
        <f>D27/744*1.35</f>
        <v>0.18809818548387097</v>
      </c>
      <c r="J27" s="5">
        <f>E27/720*1.19</f>
        <v>0</v>
      </c>
      <c r="K27" s="8">
        <f t="shared" si="2"/>
        <v>0.18809818548387097</v>
      </c>
      <c r="M27" s="9"/>
    </row>
    <row r="28" spans="1:13" x14ac:dyDescent="0.25">
      <c r="A28" s="3" t="s">
        <v>15</v>
      </c>
      <c r="B28" s="5">
        <v>0</v>
      </c>
      <c r="C28" s="5">
        <v>0</v>
      </c>
      <c r="D28" s="4">
        <v>174.55</v>
      </c>
      <c r="E28" s="5">
        <v>0</v>
      </c>
      <c r="F28" s="6">
        <f t="shared" si="0"/>
        <v>174.55</v>
      </c>
      <c r="G28" s="5">
        <f t="shared" ref="G28:H28" si="6">B28/720*1.13</f>
        <v>0</v>
      </c>
      <c r="H28" s="5">
        <f t="shared" si="6"/>
        <v>0</v>
      </c>
      <c r="I28" s="7">
        <f>D28/744*1.36</f>
        <v>0.31906989247311829</v>
      </c>
      <c r="J28" s="5">
        <f>E28/720*1.13</f>
        <v>0</v>
      </c>
      <c r="K28" s="8">
        <f t="shared" si="2"/>
        <v>0.31906989247311829</v>
      </c>
      <c r="M28" s="9"/>
    </row>
    <row r="29" spans="1:13" ht="15.75" thickBot="1" x14ac:dyDescent="0.3">
      <c r="A29" s="14" t="s">
        <v>23</v>
      </c>
      <c r="B29" s="15">
        <f t="shared" ref="B29:K29" si="7">SUM(B7:B28)</f>
        <v>24413.001999999997</v>
      </c>
      <c r="C29" s="15">
        <f t="shared" si="7"/>
        <v>3853.2510000000007</v>
      </c>
      <c r="D29" s="15">
        <f t="shared" si="7"/>
        <v>18093.553000000004</v>
      </c>
      <c r="E29" s="15">
        <f t="shared" si="7"/>
        <v>1158.4170000000001</v>
      </c>
      <c r="F29" s="15">
        <f t="shared" si="7"/>
        <v>47518.222999999998</v>
      </c>
      <c r="G29" s="15">
        <f t="shared" si="7"/>
        <v>42.678896542913883</v>
      </c>
      <c r="H29" s="15">
        <f t="shared" si="7"/>
        <v>6.7074436021505379</v>
      </c>
      <c r="I29" s="15">
        <f t="shared" si="7"/>
        <v>32.320009358870976</v>
      </c>
      <c r="J29" s="15">
        <f t="shared" si="7"/>
        <v>2.1471684543010752</v>
      </c>
      <c r="K29" s="16">
        <f t="shared" si="7"/>
        <v>83.853517958236452</v>
      </c>
    </row>
    <row r="30" spans="1:13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3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CB6CD-AE51-4140-9619-DAF905666294}">
  <dimension ref="A2:M31"/>
  <sheetViews>
    <sheetView workbookViewId="0">
      <selection activeCell="G25" sqref="G25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38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915.81100000000004</v>
      </c>
      <c r="C7" s="5">
        <v>0</v>
      </c>
      <c r="D7" s="4">
        <v>348.51600000000002</v>
      </c>
      <c r="E7" s="5">
        <v>0</v>
      </c>
      <c r="F7" s="6">
        <f t="shared" ref="F7:F28" si="0">B7+C7+D7+E7</f>
        <v>1264.327</v>
      </c>
      <c r="G7" s="7">
        <f>B7/720*1.4</f>
        <v>1.780743611111111</v>
      </c>
      <c r="H7" s="5">
        <f t="shared" ref="H7" si="1">C7/720*1.13</f>
        <v>0</v>
      </c>
      <c r="I7" s="7">
        <f>D7/720*1.39</f>
        <v>0.67282949999999997</v>
      </c>
      <c r="J7" s="5">
        <f>E7/720*1.13</f>
        <v>0</v>
      </c>
      <c r="K7" s="8">
        <f t="shared" ref="K7:K28" si="2">G7+H7+I7+J7</f>
        <v>2.453573111111111</v>
      </c>
      <c r="M7" s="9"/>
    </row>
    <row r="8" spans="1:13" x14ac:dyDescent="0.25">
      <c r="A8" s="3" t="s">
        <v>9</v>
      </c>
      <c r="B8" s="4">
        <v>1618.51</v>
      </c>
      <c r="C8" s="5">
        <v>0</v>
      </c>
      <c r="D8" s="5">
        <v>0</v>
      </c>
      <c r="E8" s="5">
        <v>0</v>
      </c>
      <c r="F8" s="6">
        <f t="shared" si="0"/>
        <v>1618.51</v>
      </c>
      <c r="G8" s="7">
        <f>B8/720*1.5</f>
        <v>3.3718958333333333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si="2"/>
        <v>3.3718958333333333</v>
      </c>
      <c r="M8" s="9"/>
    </row>
    <row r="9" spans="1:13" x14ac:dyDescent="0.25">
      <c r="A9" s="3" t="s">
        <v>32</v>
      </c>
      <c r="B9" s="7">
        <v>80.813999999999993</v>
      </c>
      <c r="C9" s="5">
        <v>0</v>
      </c>
      <c r="D9" s="4">
        <f>1185.061+1892.961</f>
        <v>3078.0219999999999</v>
      </c>
      <c r="E9" s="4">
        <v>49.225000000000001</v>
      </c>
      <c r="F9" s="6">
        <f t="shared" si="0"/>
        <v>3208.0609999999997</v>
      </c>
      <c r="G9" s="7">
        <f>B9/720*1.33</f>
        <v>0.14928141666666667</v>
      </c>
      <c r="H9" s="5">
        <f>C9/720*1.13</f>
        <v>0</v>
      </c>
      <c r="I9" s="7">
        <f>D9/720*1.19</f>
        <v>5.0872863611111105</v>
      </c>
      <c r="J9" s="7">
        <v>9.9000000000000005E-2</v>
      </c>
      <c r="K9" s="8">
        <f t="shared" si="2"/>
        <v>5.3355677777777775</v>
      </c>
      <c r="M9" s="9"/>
    </row>
    <row r="10" spans="1:13" x14ac:dyDescent="0.25">
      <c r="A10" s="3" t="s">
        <v>19</v>
      </c>
      <c r="B10" s="4">
        <f>1364.728+858.061</f>
        <v>2222.7890000000002</v>
      </c>
      <c r="C10" s="5">
        <v>0</v>
      </c>
      <c r="D10" s="10">
        <v>0</v>
      </c>
      <c r="E10" s="10">
        <v>0</v>
      </c>
      <c r="F10" s="6">
        <f t="shared" si="0"/>
        <v>2222.7890000000002</v>
      </c>
      <c r="G10" s="7">
        <f>B10/720*1.28</f>
        <v>3.951624888888889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2"/>
        <v>3.951624888888889</v>
      </c>
      <c r="M10" s="9"/>
    </row>
    <row r="11" spans="1:13" x14ac:dyDescent="0.25">
      <c r="A11" s="3" t="s">
        <v>26</v>
      </c>
      <c r="B11" s="4">
        <f>7398.576+1061.912</f>
        <v>8460.4879999999994</v>
      </c>
      <c r="C11" s="4">
        <v>1345.4760000000001</v>
      </c>
      <c r="D11" s="4">
        <f>2359.341+356.008</f>
        <v>2715.3489999999997</v>
      </c>
      <c r="E11" s="7">
        <f>5.895+15.87</f>
        <v>21.765000000000001</v>
      </c>
      <c r="F11" s="6">
        <f t="shared" si="0"/>
        <v>12543.078</v>
      </c>
      <c r="G11" s="7">
        <f>B11/720*1.36</f>
        <v>15.980921777777779</v>
      </c>
      <c r="H11" s="7">
        <v>2.9089999999999998</v>
      </c>
      <c r="I11" s="7">
        <f>D11/720*1.28</f>
        <v>4.8272871111111106</v>
      </c>
      <c r="J11" s="7">
        <f>E11/720*1.29</f>
        <v>3.8995625000000006E-2</v>
      </c>
      <c r="K11" s="8">
        <f t="shared" si="2"/>
        <v>23.756204513888889</v>
      </c>
      <c r="M11" s="9"/>
    </row>
    <row r="12" spans="1:13" x14ac:dyDescent="0.25">
      <c r="A12" s="3" t="s">
        <v>21</v>
      </c>
      <c r="B12" s="10">
        <v>0</v>
      </c>
      <c r="C12" s="4">
        <f>575.589+432.49</f>
        <v>1008.0790000000001</v>
      </c>
      <c r="D12" s="4">
        <f>5831.734+47.88</f>
        <v>5879.6140000000005</v>
      </c>
      <c r="E12" s="10">
        <v>0</v>
      </c>
      <c r="F12" s="6">
        <f t="shared" si="0"/>
        <v>6887.6930000000002</v>
      </c>
      <c r="G12" s="5">
        <f>B12/720*1.19</f>
        <v>0</v>
      </c>
      <c r="H12" s="7">
        <f>C12/720*1.29</f>
        <v>1.8061415416666668</v>
      </c>
      <c r="I12" s="7">
        <f>D12/720*1.35</f>
        <v>11.024276250000002</v>
      </c>
      <c r="J12" s="5">
        <f>E12/720*1.25</f>
        <v>0</v>
      </c>
      <c r="K12" s="8">
        <f t="shared" si="2"/>
        <v>12.830417791666669</v>
      </c>
      <c r="M12" s="9"/>
    </row>
    <row r="13" spans="1:13" x14ac:dyDescent="0.25">
      <c r="A13" s="3" t="s">
        <v>13</v>
      </c>
      <c r="B13" s="4">
        <v>3135.933</v>
      </c>
      <c r="C13" s="4">
        <v>518.92100000000005</v>
      </c>
      <c r="D13" s="4">
        <v>37.262</v>
      </c>
      <c r="E13" s="5">
        <v>0</v>
      </c>
      <c r="F13" s="6">
        <f t="shared" si="0"/>
        <v>3692.1160000000004</v>
      </c>
      <c r="G13" s="7">
        <v>5.4619999999999997</v>
      </c>
      <c r="H13" s="7">
        <v>0.82</v>
      </c>
      <c r="I13" s="7">
        <f>D13/720*1.28</f>
        <v>6.6243555555555556E-2</v>
      </c>
      <c r="J13" s="5">
        <f>E13/720*1.13</f>
        <v>0</v>
      </c>
      <c r="K13" s="8">
        <f t="shared" si="2"/>
        <v>6.3482435555555554</v>
      </c>
      <c r="M13" s="9"/>
    </row>
    <row r="14" spans="1:13" x14ac:dyDescent="0.25">
      <c r="A14" s="3" t="s">
        <v>16</v>
      </c>
      <c r="B14" s="4">
        <f>291.502+1863.353</f>
        <v>2154.855</v>
      </c>
      <c r="C14" s="5">
        <v>0</v>
      </c>
      <c r="D14" s="4">
        <f>694.222+321.151+1421.835+1286.971</f>
        <v>3724.1790000000001</v>
      </c>
      <c r="E14" s="7">
        <v>42.091000000000001</v>
      </c>
      <c r="F14" s="6">
        <f t="shared" si="0"/>
        <v>5921.125</v>
      </c>
      <c r="G14" s="7">
        <f>B14/720*1.36</f>
        <v>4.0702816666666672</v>
      </c>
      <c r="H14" s="5">
        <f>C14/720*1.13</f>
        <v>0</v>
      </c>
      <c r="I14" s="7">
        <f>D14/720*1.39</f>
        <v>7.1897344583333336</v>
      </c>
      <c r="J14" s="7">
        <f>E14/720*1.29</f>
        <v>7.5413041666666666E-2</v>
      </c>
      <c r="K14" s="8">
        <f t="shared" si="2"/>
        <v>11.335429166666666</v>
      </c>
      <c r="M14" s="9"/>
    </row>
    <row r="15" spans="1:13" x14ac:dyDescent="0.25">
      <c r="A15" s="11" t="s">
        <v>27</v>
      </c>
      <c r="B15" s="12">
        <v>2003.2670000000001</v>
      </c>
      <c r="C15" s="5">
        <v>0</v>
      </c>
      <c r="D15" s="5">
        <v>0</v>
      </c>
      <c r="E15" s="5">
        <v>0</v>
      </c>
      <c r="F15" s="6">
        <f t="shared" si="0"/>
        <v>2003.2670000000001</v>
      </c>
      <c r="G15" s="7">
        <v>3.2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2"/>
        <v>3.2</v>
      </c>
      <c r="M15" s="9"/>
    </row>
    <row r="16" spans="1:13" x14ac:dyDescent="0.25">
      <c r="A16" s="3" t="s">
        <v>20</v>
      </c>
      <c r="B16" s="4">
        <v>120.134</v>
      </c>
      <c r="C16" s="5">
        <v>0</v>
      </c>
      <c r="D16" s="4">
        <v>195.09700000000001</v>
      </c>
      <c r="E16" s="5">
        <v>0</v>
      </c>
      <c r="F16" s="6">
        <f t="shared" si="0"/>
        <v>315.23099999999999</v>
      </c>
      <c r="G16" s="7">
        <f>B16/720*1.29</f>
        <v>0.21524008333333333</v>
      </c>
      <c r="H16" s="5">
        <f>C16/720*1.33</f>
        <v>0</v>
      </c>
      <c r="I16" s="7">
        <f>D16/720*1.26</f>
        <v>0.34141975000000002</v>
      </c>
      <c r="J16" s="5">
        <f>E16/720*1.13</f>
        <v>0</v>
      </c>
      <c r="K16" s="8">
        <f t="shared" si="2"/>
        <v>0.55665983333333335</v>
      </c>
      <c r="M16" s="9"/>
    </row>
    <row r="17" spans="1:13" x14ac:dyDescent="0.25">
      <c r="A17" s="3" t="s">
        <v>35</v>
      </c>
      <c r="B17" s="5">
        <v>0</v>
      </c>
      <c r="C17" s="5">
        <v>0</v>
      </c>
      <c r="D17" s="4">
        <v>499.767</v>
      </c>
      <c r="E17" s="5">
        <v>0</v>
      </c>
      <c r="F17" s="6">
        <f t="shared" si="0"/>
        <v>499.767</v>
      </c>
      <c r="G17" s="5">
        <f t="shared" ref="G17:J17" si="3">B17/720*1.33</f>
        <v>0</v>
      </c>
      <c r="H17" s="5">
        <f t="shared" si="3"/>
        <v>0</v>
      </c>
      <c r="I17" s="7">
        <v>0.80100000000000005</v>
      </c>
      <c r="J17" s="5">
        <f t="shared" si="3"/>
        <v>0</v>
      </c>
      <c r="K17" s="8">
        <f t="shared" si="2"/>
        <v>0.80100000000000005</v>
      </c>
      <c r="M17" s="9"/>
    </row>
    <row r="18" spans="1:13" x14ac:dyDescent="0.25">
      <c r="A18" s="13" t="s">
        <v>22</v>
      </c>
      <c r="B18" s="4">
        <v>229.68</v>
      </c>
      <c r="C18" s="10">
        <v>0</v>
      </c>
      <c r="D18" s="10">
        <v>0</v>
      </c>
      <c r="E18" s="10">
        <v>0</v>
      </c>
      <c r="F18" s="6">
        <f t="shared" si="0"/>
        <v>229.68</v>
      </c>
      <c r="G18" s="7">
        <f>B18/720*1.39</f>
        <v>0.44340999999999997</v>
      </c>
      <c r="H18" s="5">
        <f t="shared" ref="H18:J18" si="4">C18/720*1.19</f>
        <v>0</v>
      </c>
      <c r="I18" s="5">
        <f t="shared" si="4"/>
        <v>0</v>
      </c>
      <c r="J18" s="5">
        <f t="shared" si="4"/>
        <v>0</v>
      </c>
      <c r="K18" s="8">
        <f t="shared" si="2"/>
        <v>0.44340999999999997</v>
      </c>
      <c r="M18" s="9"/>
    </row>
    <row r="19" spans="1:13" x14ac:dyDescent="0.25">
      <c r="A19" s="3" t="s">
        <v>14</v>
      </c>
      <c r="B19" s="5">
        <v>0</v>
      </c>
      <c r="C19" s="5">
        <v>0</v>
      </c>
      <c r="D19" s="4">
        <v>507.35899999999998</v>
      </c>
      <c r="E19" s="5">
        <v>0</v>
      </c>
      <c r="F19" s="6">
        <f t="shared" si="0"/>
        <v>507.35899999999998</v>
      </c>
      <c r="G19" s="5">
        <f>B19/720*1.13</f>
        <v>0</v>
      </c>
      <c r="H19" s="5">
        <f>C19/720*1.13</f>
        <v>0</v>
      </c>
      <c r="I19" s="7">
        <f>D19/720*1.485</f>
        <v>1.0464279375000001</v>
      </c>
      <c r="J19" s="5">
        <f>E19/720*1.13</f>
        <v>0</v>
      </c>
      <c r="K19" s="8">
        <f t="shared" si="2"/>
        <v>1.0464279375000001</v>
      </c>
      <c r="M19" s="9"/>
    </row>
    <row r="20" spans="1:13" x14ac:dyDescent="0.25">
      <c r="A20" s="3" t="s">
        <v>18</v>
      </c>
      <c r="B20" s="5">
        <v>0</v>
      </c>
      <c r="C20" s="7">
        <v>261.22500000000002</v>
      </c>
      <c r="D20" s="10">
        <v>0</v>
      </c>
      <c r="E20" s="10">
        <v>0</v>
      </c>
      <c r="F20" s="6">
        <f t="shared" si="0"/>
        <v>261.22500000000002</v>
      </c>
      <c r="G20" s="5">
        <f>B20/720*1.19</f>
        <v>0</v>
      </c>
      <c r="H20" s="7">
        <f>C20/720*1.38</f>
        <v>0.50068124999999997</v>
      </c>
      <c r="I20" s="5">
        <f>D20/720*1.25</f>
        <v>0</v>
      </c>
      <c r="J20" s="5">
        <f>E20/720*1.25</f>
        <v>0</v>
      </c>
      <c r="K20" s="8">
        <f t="shared" si="2"/>
        <v>0.50068124999999997</v>
      </c>
      <c r="M20" s="9"/>
    </row>
    <row r="21" spans="1:13" x14ac:dyDescent="0.25">
      <c r="A21" s="3" t="s">
        <v>28</v>
      </c>
      <c r="B21" s="4">
        <f>1647.929+70.394</f>
        <v>1718.3230000000001</v>
      </c>
      <c r="C21" s="7">
        <v>216.90100000000001</v>
      </c>
      <c r="D21" s="4">
        <v>1526.625</v>
      </c>
      <c r="E21" s="5">
        <v>0</v>
      </c>
      <c r="F21" s="6">
        <f t="shared" si="0"/>
        <v>3461.8490000000002</v>
      </c>
      <c r="G21" s="7">
        <f>B21/720*1.28</f>
        <v>3.0547964444444449</v>
      </c>
      <c r="H21" s="7">
        <f>C21/720*1.28</f>
        <v>0.38560177777777782</v>
      </c>
      <c r="I21" s="7">
        <f>D21/720*1.36</f>
        <v>2.8836249999999999</v>
      </c>
      <c r="J21" s="5">
        <f>E21/720*1.13</f>
        <v>0</v>
      </c>
      <c r="K21" s="8">
        <f t="shared" si="2"/>
        <v>6.3240232222222232</v>
      </c>
      <c r="M21" s="9"/>
    </row>
    <row r="22" spans="1:13" x14ac:dyDescent="0.25">
      <c r="A22" s="3" t="s">
        <v>12</v>
      </c>
      <c r="B22" s="5">
        <v>0</v>
      </c>
      <c r="C22" s="5">
        <v>0</v>
      </c>
      <c r="D22" s="4">
        <v>1524.518</v>
      </c>
      <c r="E22" s="5">
        <v>0</v>
      </c>
      <c r="F22" s="6">
        <f t="shared" si="0"/>
        <v>1524.518</v>
      </c>
      <c r="G22" s="5">
        <f>B22/720*1.13</f>
        <v>0</v>
      </c>
      <c r="H22" s="5">
        <f>C22/720*1.23</f>
        <v>0</v>
      </c>
      <c r="I22" s="7">
        <f>D22/720*1.36</f>
        <v>2.8796451111111114</v>
      </c>
      <c r="J22" s="5">
        <f>E22/720*1.13</f>
        <v>0</v>
      </c>
      <c r="K22" s="8">
        <f t="shared" si="2"/>
        <v>2.8796451111111114</v>
      </c>
      <c r="M22" s="9"/>
    </row>
    <row r="23" spans="1:13" x14ac:dyDescent="0.25">
      <c r="A23" s="3" t="s">
        <v>11</v>
      </c>
      <c r="B23" s="4">
        <v>1068.3630000000001</v>
      </c>
      <c r="C23" s="5">
        <v>0</v>
      </c>
      <c r="D23" s="5">
        <v>0</v>
      </c>
      <c r="E23" s="5">
        <v>0</v>
      </c>
      <c r="F23" s="6">
        <f t="shared" si="0"/>
        <v>1068.3630000000001</v>
      </c>
      <c r="G23" s="7">
        <f>B23/720*1.33</f>
        <v>1.9735038750000002</v>
      </c>
      <c r="H23" s="5">
        <f>C23/720*1.13</f>
        <v>0</v>
      </c>
      <c r="I23" s="5">
        <f>D23/720*1.13</f>
        <v>0</v>
      </c>
      <c r="J23" s="5">
        <f>E23/720*1.13</f>
        <v>0</v>
      </c>
      <c r="K23" s="8">
        <f t="shared" si="2"/>
        <v>1.9735038750000002</v>
      </c>
      <c r="M23" s="9"/>
    </row>
    <row r="24" spans="1:13" x14ac:dyDescent="0.25">
      <c r="A24" s="3" t="s">
        <v>29</v>
      </c>
      <c r="B24" s="5">
        <v>0</v>
      </c>
      <c r="C24" s="5">
        <v>0</v>
      </c>
      <c r="D24" s="4">
        <v>14.987</v>
      </c>
      <c r="E24" s="5">
        <v>0</v>
      </c>
      <c r="F24" s="6">
        <f t="shared" si="0"/>
        <v>14.987</v>
      </c>
      <c r="G24" s="5">
        <f>B24/720*1.13</f>
        <v>0</v>
      </c>
      <c r="H24" s="5">
        <f>C24/720*1.23</f>
        <v>0</v>
      </c>
      <c r="I24" s="7">
        <f>D24/720*1.69</f>
        <v>3.5177819444444439E-2</v>
      </c>
      <c r="J24" s="5">
        <f>E24/720*1.13</f>
        <v>0</v>
      </c>
      <c r="K24" s="8">
        <f t="shared" si="2"/>
        <v>3.5177819444444439E-2</v>
      </c>
      <c r="M24" s="9"/>
    </row>
    <row r="25" spans="1:13" x14ac:dyDescent="0.25">
      <c r="A25" s="3" t="s">
        <v>10</v>
      </c>
      <c r="B25" s="4">
        <f>1.962+458.186</f>
        <v>460.14799999999997</v>
      </c>
      <c r="C25" s="5">
        <v>0</v>
      </c>
      <c r="D25" s="4">
        <f>256.938+25.928</f>
        <v>282.86599999999999</v>
      </c>
      <c r="E25" s="4">
        <f>76.832+9.077</f>
        <v>85.908999999999992</v>
      </c>
      <c r="F25" s="6">
        <f t="shared" si="0"/>
        <v>828.92299999999989</v>
      </c>
      <c r="G25" s="7">
        <f>B25/720*1.28</f>
        <v>0.81804088888888882</v>
      </c>
      <c r="H25" s="5">
        <f>C25/720*1.13</f>
        <v>0</v>
      </c>
      <c r="I25" s="7">
        <f>D25/720*1.28</f>
        <v>0.50287288888888892</v>
      </c>
      <c r="J25" s="7">
        <f>E25/720*1.32</f>
        <v>0.15749983333333331</v>
      </c>
      <c r="K25" s="8">
        <f t="shared" si="2"/>
        <v>1.478413611111111</v>
      </c>
      <c r="M25" s="9"/>
    </row>
    <row r="26" spans="1:13" x14ac:dyDescent="0.25">
      <c r="A26" s="3" t="s">
        <v>30</v>
      </c>
      <c r="B26" s="4">
        <f>116.101</f>
        <v>116.101</v>
      </c>
      <c r="C26" s="5">
        <v>0</v>
      </c>
      <c r="D26" s="4">
        <v>1140.8040000000001</v>
      </c>
      <c r="E26" s="4">
        <v>1005.782</v>
      </c>
      <c r="F26" s="6">
        <f t="shared" si="0"/>
        <v>2262.6870000000004</v>
      </c>
      <c r="G26" s="7">
        <f>B26/720*1.28</f>
        <v>0.20640177777777777</v>
      </c>
      <c r="H26" s="5">
        <f>C26/720*1.13</f>
        <v>0</v>
      </c>
      <c r="I26" s="7">
        <f>D26/720*1.36</f>
        <v>2.1548520000000004</v>
      </c>
      <c r="J26" s="7">
        <v>1.899</v>
      </c>
      <c r="K26" s="8">
        <f t="shared" si="2"/>
        <v>4.2602537777777787</v>
      </c>
      <c r="M26" s="9"/>
    </row>
    <row r="27" spans="1:13" x14ac:dyDescent="0.25">
      <c r="A27" s="3" t="s">
        <v>8</v>
      </c>
      <c r="B27" s="5">
        <v>0</v>
      </c>
      <c r="C27" s="5">
        <v>0</v>
      </c>
      <c r="D27" s="4">
        <v>82.784999999999997</v>
      </c>
      <c r="E27" s="5">
        <v>0</v>
      </c>
      <c r="F27" s="6">
        <f t="shared" si="0"/>
        <v>82.784999999999997</v>
      </c>
      <c r="G27" s="5">
        <f>B27/720*1.114</f>
        <v>0</v>
      </c>
      <c r="H27" s="5">
        <f t="shared" ref="H27" si="5">C27/720*1.13</f>
        <v>0</v>
      </c>
      <c r="I27" s="7">
        <f>D27/720*1.36</f>
        <v>0.15637166666666666</v>
      </c>
      <c r="J27" s="5">
        <f>E27/720*1.19</f>
        <v>0</v>
      </c>
      <c r="K27" s="8">
        <f t="shared" si="2"/>
        <v>0.15637166666666666</v>
      </c>
      <c r="M27" s="9"/>
    </row>
    <row r="28" spans="1:13" x14ac:dyDescent="0.25">
      <c r="A28" s="3" t="s">
        <v>15</v>
      </c>
      <c r="B28" s="5">
        <v>0</v>
      </c>
      <c r="C28" s="5">
        <v>0</v>
      </c>
      <c r="D28" s="4">
        <v>169.18299999999999</v>
      </c>
      <c r="E28" s="5">
        <v>0</v>
      </c>
      <c r="F28" s="6">
        <f t="shared" si="0"/>
        <v>169.18299999999999</v>
      </c>
      <c r="G28" s="5">
        <f t="shared" ref="G28:H28" si="6">B28/720*1.13</f>
        <v>0</v>
      </c>
      <c r="H28" s="5">
        <f t="shared" si="6"/>
        <v>0</v>
      </c>
      <c r="I28" s="7">
        <f>D28/720*1.37</f>
        <v>0.32191765277777779</v>
      </c>
      <c r="J28" s="5">
        <f>E28/720*1.13</f>
        <v>0</v>
      </c>
      <c r="K28" s="8">
        <f t="shared" si="2"/>
        <v>0.32191765277777779</v>
      </c>
      <c r="M28" s="9"/>
    </row>
    <row r="29" spans="1:13" ht="15.75" thickBot="1" x14ac:dyDescent="0.3">
      <c r="A29" s="14" t="s">
        <v>23</v>
      </c>
      <c r="B29" s="15">
        <f t="shared" ref="B29:K29" si="7">SUM(B7:B28)</f>
        <v>24305.216</v>
      </c>
      <c r="C29" s="15">
        <f t="shared" si="7"/>
        <v>3350.6020000000003</v>
      </c>
      <c r="D29" s="15">
        <f t="shared" si="7"/>
        <v>21726.933000000001</v>
      </c>
      <c r="E29" s="15">
        <f t="shared" si="7"/>
        <v>1204.7719999999999</v>
      </c>
      <c r="F29" s="15">
        <f t="shared" si="7"/>
        <v>50587.523000000001</v>
      </c>
      <c r="G29" s="15">
        <f t="shared" si="7"/>
        <v>44.678142263888894</v>
      </c>
      <c r="H29" s="15">
        <f t="shared" si="7"/>
        <v>6.4214245694444436</v>
      </c>
      <c r="I29" s="15">
        <f t="shared" si="7"/>
        <v>39.99096706249999</v>
      </c>
      <c r="J29" s="15">
        <f t="shared" si="7"/>
        <v>2.2699085000000001</v>
      </c>
      <c r="K29" s="16">
        <f t="shared" si="7"/>
        <v>93.360442395833346</v>
      </c>
    </row>
    <row r="30" spans="1:13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3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8980B-3AF0-4FA0-9821-A8177AA52D7F}">
  <dimension ref="A2:U31"/>
  <sheetViews>
    <sheetView workbookViewId="0">
      <selection sqref="A1:XFD1048576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37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736.46400000000006</v>
      </c>
      <c r="C7" s="5">
        <v>0</v>
      </c>
      <c r="D7" s="4">
        <v>429.22699999999998</v>
      </c>
      <c r="E7" s="5">
        <v>0</v>
      </c>
      <c r="F7" s="6">
        <f t="shared" ref="F7:F28" si="0">B7+C7+D7+E7</f>
        <v>1165.691</v>
      </c>
      <c r="G7" s="7">
        <f>B7/720*1.43</f>
        <v>1.4626993333333336</v>
      </c>
      <c r="H7" s="5">
        <f t="shared" ref="H7" si="1">C7/720*1.13</f>
        <v>0</v>
      </c>
      <c r="I7" s="7">
        <f>D7/744*1.38</f>
        <v>0.79614685483870951</v>
      </c>
      <c r="J7" s="5">
        <f>E7/720*1.13</f>
        <v>0</v>
      </c>
      <c r="K7" s="8">
        <f t="shared" ref="K7:K28" si="2">G7+H7+I7+J7</f>
        <v>2.258846188172043</v>
      </c>
      <c r="M7" s="9"/>
    </row>
    <row r="8" spans="1:13" x14ac:dyDescent="0.25">
      <c r="A8" s="3" t="s">
        <v>9</v>
      </c>
      <c r="B8" s="4">
        <v>1102.9939999999999</v>
      </c>
      <c r="C8" s="5">
        <v>0</v>
      </c>
      <c r="D8" s="5">
        <v>0</v>
      </c>
      <c r="E8" s="5">
        <v>0</v>
      </c>
      <c r="F8" s="6">
        <f t="shared" si="0"/>
        <v>1102.9939999999999</v>
      </c>
      <c r="G8" s="7">
        <f>B8/744*1.52</f>
        <v>2.2534286021505374</v>
      </c>
      <c r="H8" s="5">
        <f>C8/720*1.13</f>
        <v>0</v>
      </c>
      <c r="I8" s="5">
        <f>D8/744*1.13</f>
        <v>0</v>
      </c>
      <c r="J8" s="5">
        <f>E8/720*1.13</f>
        <v>0</v>
      </c>
      <c r="K8" s="8">
        <f t="shared" si="2"/>
        <v>2.2534286021505374</v>
      </c>
      <c r="M8" s="9"/>
    </row>
    <row r="9" spans="1:13" x14ac:dyDescent="0.25">
      <c r="A9" s="3" t="s">
        <v>32</v>
      </c>
      <c r="B9" s="7">
        <v>99.001000000000005</v>
      </c>
      <c r="C9" s="5">
        <v>0</v>
      </c>
      <c r="D9" s="4">
        <v>3752.348</v>
      </c>
      <c r="E9" s="4">
        <v>54.752000000000002</v>
      </c>
      <c r="F9" s="6">
        <f t="shared" si="0"/>
        <v>3906.1010000000001</v>
      </c>
      <c r="G9" s="7">
        <f>B9/744*1.33</f>
        <v>0.17697759408602151</v>
      </c>
      <c r="H9" s="5">
        <f>C9/720*1.13</f>
        <v>0</v>
      </c>
      <c r="I9" s="7">
        <f>D9/744*1.35</f>
        <v>6.8086959677419365</v>
      </c>
      <c r="J9" s="7">
        <v>0.106</v>
      </c>
      <c r="K9" s="8">
        <f t="shared" si="2"/>
        <v>7.0916735618279576</v>
      </c>
      <c r="M9" s="9"/>
    </row>
    <row r="10" spans="1:13" x14ac:dyDescent="0.25">
      <c r="A10" s="3" t="s">
        <v>19</v>
      </c>
      <c r="B10" s="4">
        <v>2343.681</v>
      </c>
      <c r="C10" s="5">
        <v>0</v>
      </c>
      <c r="D10" s="10">
        <v>0</v>
      </c>
      <c r="E10" s="10">
        <v>0</v>
      </c>
      <c r="F10" s="6">
        <f t="shared" si="0"/>
        <v>2343.681</v>
      </c>
      <c r="G10" s="7">
        <f>B10/744*1.25</f>
        <v>3.9376360887096773</v>
      </c>
      <c r="H10" s="5">
        <f>C10/720*1.13</f>
        <v>0</v>
      </c>
      <c r="I10" s="5">
        <f>D10/744*1.29</f>
        <v>0</v>
      </c>
      <c r="J10" s="5">
        <f>E10/720*1.25</f>
        <v>0</v>
      </c>
      <c r="K10" s="8">
        <f t="shared" si="2"/>
        <v>3.9376360887096773</v>
      </c>
      <c r="M10" s="9"/>
    </row>
    <row r="11" spans="1:13" x14ac:dyDescent="0.25">
      <c r="A11" s="3" t="s">
        <v>26</v>
      </c>
      <c r="B11" s="4">
        <f>7623.725+956.309</f>
        <v>8580.0339999999997</v>
      </c>
      <c r="C11" s="4">
        <v>778.18700000000001</v>
      </c>
      <c r="D11" s="4">
        <f>2404.329+355.041</f>
        <v>2759.3700000000003</v>
      </c>
      <c r="E11" s="7">
        <f>1.854+18.113</f>
        <v>19.966999999999999</v>
      </c>
      <c r="F11" s="6">
        <f t="shared" si="0"/>
        <v>12137.558000000001</v>
      </c>
      <c r="G11" s="7">
        <f>B11/744*1.39</f>
        <v>16.029902231182795</v>
      </c>
      <c r="H11" s="7">
        <v>1.556</v>
      </c>
      <c r="I11" s="7">
        <f>D11/744*1.29</f>
        <v>4.7843915322580655</v>
      </c>
      <c r="J11" s="7">
        <f>E11/744*1.29</f>
        <v>3.4620201612903224E-2</v>
      </c>
      <c r="K11" s="8">
        <f t="shared" si="2"/>
        <v>22.404913965053765</v>
      </c>
      <c r="M11" s="9"/>
    </row>
    <row r="12" spans="1:13" x14ac:dyDescent="0.25">
      <c r="A12" s="3" t="s">
        <v>21</v>
      </c>
      <c r="B12" s="10">
        <v>0</v>
      </c>
      <c r="C12" s="4">
        <f>430.151+505.702</f>
        <v>935.85300000000007</v>
      </c>
      <c r="D12" s="4">
        <f>7351.787+69.928</f>
        <v>7421.7150000000001</v>
      </c>
      <c r="E12" s="10">
        <v>0</v>
      </c>
      <c r="F12" s="6">
        <f t="shared" si="0"/>
        <v>8357.5679999999993</v>
      </c>
      <c r="G12" s="5">
        <f>B12/720*1.19</f>
        <v>0</v>
      </c>
      <c r="H12" s="7">
        <f>C12/744*1.29</f>
        <v>1.6226483467741937</v>
      </c>
      <c r="I12" s="7">
        <f>D12/744*1.35</f>
        <v>13.466821572580647</v>
      </c>
      <c r="J12" s="5">
        <f>E12/720*1.25</f>
        <v>0</v>
      </c>
      <c r="K12" s="8">
        <f t="shared" si="2"/>
        <v>15.08946991935484</v>
      </c>
      <c r="M12" s="9"/>
    </row>
    <row r="13" spans="1:13" x14ac:dyDescent="0.25">
      <c r="A13" s="3" t="s">
        <v>13</v>
      </c>
      <c r="B13" s="4">
        <v>3587.5140000000001</v>
      </c>
      <c r="C13" s="4">
        <v>578.83600000000001</v>
      </c>
      <c r="D13" s="4">
        <v>5.5309999999999997</v>
      </c>
      <c r="E13" s="5">
        <v>0</v>
      </c>
      <c r="F13" s="6">
        <f t="shared" si="0"/>
        <v>4171.8810000000003</v>
      </c>
      <c r="G13" s="7">
        <v>5.9050000000000002</v>
      </c>
      <c r="H13" s="7">
        <v>0.84599999999999997</v>
      </c>
      <c r="I13" s="7">
        <f>D13/744*1.28</f>
        <v>9.5156989247311818E-3</v>
      </c>
      <c r="J13" s="5">
        <f>E13/720*1.13</f>
        <v>0</v>
      </c>
      <c r="K13" s="8">
        <f t="shared" si="2"/>
        <v>6.7605156989247313</v>
      </c>
      <c r="M13" s="9"/>
    </row>
    <row r="14" spans="1:13" x14ac:dyDescent="0.25">
      <c r="A14" s="3" t="s">
        <v>16</v>
      </c>
      <c r="B14" s="4">
        <f>325.911+1846.623</f>
        <v>2172.5340000000001</v>
      </c>
      <c r="C14" s="5">
        <v>0</v>
      </c>
      <c r="D14" s="4">
        <f>388.042+1402.782+792.826+1338.246</f>
        <v>3921.8959999999997</v>
      </c>
      <c r="E14" s="7">
        <v>64.325000000000003</v>
      </c>
      <c r="F14" s="6">
        <f t="shared" si="0"/>
        <v>6158.7550000000001</v>
      </c>
      <c r="G14" s="7">
        <f>B14/744*1.17</f>
        <v>3.4164849193548386</v>
      </c>
      <c r="H14" s="5">
        <f>C14/720*1.13</f>
        <v>0</v>
      </c>
      <c r="I14" s="7">
        <f>D14/744*1.34</f>
        <v>7.0636298924731182</v>
      </c>
      <c r="J14" s="7">
        <f>E14/744*1.39</f>
        <v>0.12017708333333332</v>
      </c>
      <c r="K14" s="8">
        <f t="shared" si="2"/>
        <v>10.600291895161289</v>
      </c>
      <c r="M14" s="17"/>
    </row>
    <row r="15" spans="1:13" x14ac:dyDescent="0.25">
      <c r="A15" s="11" t="s">
        <v>27</v>
      </c>
      <c r="B15" s="12">
        <v>2173.922</v>
      </c>
      <c r="C15" s="5">
        <v>0</v>
      </c>
      <c r="D15" s="5">
        <v>0</v>
      </c>
      <c r="E15" s="5">
        <v>0</v>
      </c>
      <c r="F15" s="6">
        <f t="shared" si="0"/>
        <v>2173.922</v>
      </c>
      <c r="G15" s="7">
        <v>3.3839999999999999</v>
      </c>
      <c r="H15" s="5">
        <f>C15/720*1.13</f>
        <v>0</v>
      </c>
      <c r="I15" s="5">
        <f>D15/744*1.13</f>
        <v>0</v>
      </c>
      <c r="J15" s="5">
        <f>E15/720*1.13</f>
        <v>0</v>
      </c>
      <c r="K15" s="8">
        <f t="shared" si="2"/>
        <v>3.3839999999999999</v>
      </c>
      <c r="M15" s="9"/>
    </row>
    <row r="16" spans="1:13" x14ac:dyDescent="0.25">
      <c r="A16" s="3" t="s">
        <v>20</v>
      </c>
      <c r="B16" s="4">
        <v>129.97800000000001</v>
      </c>
      <c r="C16" s="5">
        <v>0</v>
      </c>
      <c r="D16" s="4">
        <v>5.7510000000000003</v>
      </c>
      <c r="E16" s="5">
        <v>0</v>
      </c>
      <c r="F16" s="6">
        <f t="shared" si="0"/>
        <v>135.72900000000001</v>
      </c>
      <c r="G16" s="7">
        <f>B16/744*1.29</f>
        <v>0.22536508064516131</v>
      </c>
      <c r="H16" s="5">
        <f>C16/720*1.33</f>
        <v>0</v>
      </c>
      <c r="I16" s="7">
        <f>D16/744*1.26</f>
        <v>9.7395967741935492E-3</v>
      </c>
      <c r="J16" s="5">
        <f>E16/720*1.13</f>
        <v>0</v>
      </c>
      <c r="K16" s="8">
        <f t="shared" si="2"/>
        <v>0.23510467741935487</v>
      </c>
      <c r="M16" s="9"/>
    </row>
    <row r="17" spans="1:21" x14ac:dyDescent="0.25">
      <c r="A17" s="3" t="s">
        <v>35</v>
      </c>
      <c r="B17" s="5">
        <v>0</v>
      </c>
      <c r="C17" s="5">
        <v>0</v>
      </c>
      <c r="D17" s="4">
        <v>481.77300000000002</v>
      </c>
      <c r="E17" s="5">
        <v>0</v>
      </c>
      <c r="F17" s="6">
        <f t="shared" si="0"/>
        <v>481.77300000000002</v>
      </c>
      <c r="G17" s="5">
        <f t="shared" ref="G17:J17" si="3">B17/720*1.33</f>
        <v>0</v>
      </c>
      <c r="H17" s="5">
        <f t="shared" si="3"/>
        <v>0</v>
      </c>
      <c r="I17" s="7">
        <v>0.753</v>
      </c>
      <c r="J17" s="5">
        <f t="shared" si="3"/>
        <v>0</v>
      </c>
      <c r="K17" s="8">
        <f t="shared" si="2"/>
        <v>0.753</v>
      </c>
      <c r="M17" s="9"/>
    </row>
    <row r="18" spans="1:21" x14ac:dyDescent="0.25">
      <c r="A18" s="13" t="s">
        <v>22</v>
      </c>
      <c r="B18" s="4">
        <v>252.196</v>
      </c>
      <c r="C18" s="10">
        <v>0</v>
      </c>
      <c r="D18" s="4">
        <v>250.70500000000001</v>
      </c>
      <c r="E18" s="10">
        <v>0</v>
      </c>
      <c r="F18" s="6">
        <f t="shared" si="0"/>
        <v>502.90100000000001</v>
      </c>
      <c r="G18" s="7">
        <f>B18/744*1.39</f>
        <v>0.47117263440860213</v>
      </c>
      <c r="H18" s="5">
        <f t="shared" ref="H18:J18" si="4">C18/720*1.19</f>
        <v>0</v>
      </c>
      <c r="I18" s="7">
        <v>0.45800000000000002</v>
      </c>
      <c r="J18" s="5">
        <f t="shared" si="4"/>
        <v>0</v>
      </c>
      <c r="K18" s="8">
        <f t="shared" si="2"/>
        <v>0.9291726344086022</v>
      </c>
      <c r="M18" s="9"/>
    </row>
    <row r="19" spans="1:21" x14ac:dyDescent="0.25">
      <c r="A19" s="3" t="s">
        <v>14</v>
      </c>
      <c r="B19" s="5">
        <v>0</v>
      </c>
      <c r="C19" s="5">
        <v>0</v>
      </c>
      <c r="D19" s="4">
        <v>576.81200000000001</v>
      </c>
      <c r="E19" s="5">
        <v>0</v>
      </c>
      <c r="F19" s="6">
        <f t="shared" si="0"/>
        <v>576.81200000000001</v>
      </c>
      <c r="G19" s="5">
        <f>B19/720*1.13</f>
        <v>0</v>
      </c>
      <c r="H19" s="5">
        <f>C19/720*1.13</f>
        <v>0</v>
      </c>
      <c r="I19" s="7">
        <f>D19/744*1.53</f>
        <v>1.1861859677419355</v>
      </c>
      <c r="J19" s="5">
        <f>E19/720*1.13</f>
        <v>0</v>
      </c>
      <c r="K19" s="8">
        <f t="shared" si="2"/>
        <v>1.1861859677419355</v>
      </c>
      <c r="M19" s="9"/>
    </row>
    <row r="20" spans="1:21" x14ac:dyDescent="0.25">
      <c r="A20" s="3" t="s">
        <v>18</v>
      </c>
      <c r="B20" s="5">
        <v>0</v>
      </c>
      <c r="C20" s="7">
        <v>295.47399999999999</v>
      </c>
      <c r="D20" s="10">
        <v>0</v>
      </c>
      <c r="E20" s="10">
        <v>0</v>
      </c>
      <c r="F20" s="6">
        <f t="shared" si="0"/>
        <v>295.47399999999999</v>
      </c>
      <c r="G20" s="5">
        <f>B20/720*1.19</f>
        <v>0</v>
      </c>
      <c r="H20" s="7">
        <f>C20/744*1.27</f>
        <v>0.50437094086021506</v>
      </c>
      <c r="I20" s="5">
        <f>D20/744*1.25</f>
        <v>0</v>
      </c>
      <c r="J20" s="5">
        <f>E20/720*1.25</f>
        <v>0</v>
      </c>
      <c r="K20" s="8">
        <f t="shared" si="2"/>
        <v>0.50437094086021506</v>
      </c>
      <c r="M20" s="9"/>
    </row>
    <row r="21" spans="1:21" x14ac:dyDescent="0.25">
      <c r="A21" s="3" t="s">
        <v>28</v>
      </c>
      <c r="B21" s="4">
        <f>2250.025+76.695</f>
        <v>2326.7200000000003</v>
      </c>
      <c r="C21" s="7">
        <v>219.93299999999999</v>
      </c>
      <c r="D21" s="4">
        <v>1703.2270000000001</v>
      </c>
      <c r="E21" s="5">
        <v>0</v>
      </c>
      <c r="F21" s="6">
        <f t="shared" si="0"/>
        <v>4249.88</v>
      </c>
      <c r="G21" s="7">
        <f>B21/744*1.1</f>
        <v>3.4400430107526891</v>
      </c>
      <c r="H21" s="7">
        <f>C21/744*1.34</f>
        <v>0.3961158870967742</v>
      </c>
      <c r="I21" s="7">
        <f>D21/744*1.39</f>
        <v>3.1821042069892469</v>
      </c>
      <c r="J21" s="5">
        <f>E21/720*1.13</f>
        <v>0</v>
      </c>
      <c r="K21" s="8">
        <f t="shared" si="2"/>
        <v>7.0182631048387103</v>
      </c>
      <c r="M21" s="9"/>
      <c r="N21" s="18"/>
    </row>
    <row r="22" spans="1:21" x14ac:dyDescent="0.25">
      <c r="A22" s="3" t="s">
        <v>12</v>
      </c>
      <c r="B22" s="5">
        <v>0</v>
      </c>
      <c r="C22" s="5">
        <v>0</v>
      </c>
      <c r="D22" s="4">
        <v>1575.2270000000001</v>
      </c>
      <c r="E22" s="5">
        <v>0</v>
      </c>
      <c r="F22" s="6">
        <f t="shared" si="0"/>
        <v>1575.2270000000001</v>
      </c>
      <c r="G22" s="5">
        <f>B22/720*1.13</f>
        <v>0</v>
      </c>
      <c r="H22" s="5">
        <f>C22/720*1.23</f>
        <v>0</v>
      </c>
      <c r="I22" s="7">
        <f>D22/744*1.37</f>
        <v>2.9006196102150543</v>
      </c>
      <c r="J22" s="5">
        <f>E22/720*1.13</f>
        <v>0</v>
      </c>
      <c r="K22" s="8">
        <f t="shared" si="2"/>
        <v>2.9006196102150543</v>
      </c>
      <c r="M22" s="9"/>
    </row>
    <row r="23" spans="1:21" x14ac:dyDescent="0.25">
      <c r="A23" s="3" t="s">
        <v>11</v>
      </c>
      <c r="B23" s="4">
        <v>1233.58</v>
      </c>
      <c r="C23" s="5">
        <v>0</v>
      </c>
      <c r="D23" s="5">
        <v>0</v>
      </c>
      <c r="E23" s="5">
        <v>0</v>
      </c>
      <c r="F23" s="6">
        <f t="shared" si="0"/>
        <v>1233.58</v>
      </c>
      <c r="G23" s="7">
        <f>B23/744*1.33</f>
        <v>2.2051900537634408</v>
      </c>
      <c r="H23" s="5">
        <f>C23/720*1.13</f>
        <v>0</v>
      </c>
      <c r="I23" s="5">
        <f>D23/744*1.13</f>
        <v>0</v>
      </c>
      <c r="J23" s="5">
        <f>E23/720*1.13</f>
        <v>0</v>
      </c>
      <c r="K23" s="8">
        <f t="shared" si="2"/>
        <v>2.2051900537634408</v>
      </c>
      <c r="M23" s="9"/>
    </row>
    <row r="24" spans="1:21" x14ac:dyDescent="0.25">
      <c r="A24" s="3" t="s">
        <v>29</v>
      </c>
      <c r="B24" s="5">
        <v>0</v>
      </c>
      <c r="C24" s="5">
        <v>0</v>
      </c>
      <c r="D24" s="4">
        <v>24.381</v>
      </c>
      <c r="E24" s="5">
        <v>0</v>
      </c>
      <c r="F24" s="6">
        <f t="shared" si="0"/>
        <v>24.381</v>
      </c>
      <c r="G24" s="5">
        <f>B24/720*1.13</f>
        <v>0</v>
      </c>
      <c r="H24" s="5">
        <f>C24/720*1.23</f>
        <v>0</v>
      </c>
      <c r="I24" s="7">
        <f>D24/744*1.69</f>
        <v>5.5381572580645154E-2</v>
      </c>
      <c r="J24" s="5">
        <f>E24/720*1.13</f>
        <v>0</v>
      </c>
      <c r="K24" s="8">
        <f t="shared" si="2"/>
        <v>5.5381572580645154E-2</v>
      </c>
      <c r="M24" s="9"/>
    </row>
    <row r="25" spans="1:21" x14ac:dyDescent="0.25">
      <c r="A25" s="3" t="s">
        <v>10</v>
      </c>
      <c r="B25" s="4">
        <f>685.638+1.928</f>
        <v>687.56600000000003</v>
      </c>
      <c r="C25" s="5">
        <v>0</v>
      </c>
      <c r="D25" s="4">
        <f>14.004+276.672</f>
        <v>290.67600000000004</v>
      </c>
      <c r="E25" s="4">
        <f>8.828+76.657</f>
        <v>85.484999999999999</v>
      </c>
      <c r="F25" s="6">
        <f t="shared" si="0"/>
        <v>1063.7270000000001</v>
      </c>
      <c r="G25" s="7">
        <f>B25/744*1.33</f>
        <v>1.2291166397849462</v>
      </c>
      <c r="H25" s="5">
        <f>C25/720*1.13</f>
        <v>0</v>
      </c>
      <c r="I25" s="7">
        <f>D25/744</f>
        <v>0.39069354838709686</v>
      </c>
      <c r="J25" s="7">
        <f>E25/744</f>
        <v>0.1148991935483871</v>
      </c>
      <c r="K25" s="8">
        <f t="shared" si="2"/>
        <v>1.7347093817204302</v>
      </c>
      <c r="M25" s="9"/>
      <c r="R25" s="18"/>
      <c r="S25" s="18"/>
      <c r="T25" s="18"/>
      <c r="U25" s="18"/>
    </row>
    <row r="26" spans="1:21" x14ac:dyDescent="0.25">
      <c r="A26" s="3" t="s">
        <v>30</v>
      </c>
      <c r="B26" s="4">
        <v>118.465</v>
      </c>
      <c r="C26" s="5">
        <v>0</v>
      </c>
      <c r="D26" s="4">
        <v>1152.0129999999999</v>
      </c>
      <c r="E26" s="4">
        <v>1045.2449999999999</v>
      </c>
      <c r="F26" s="6">
        <f t="shared" si="0"/>
        <v>2315.723</v>
      </c>
      <c r="G26" s="7">
        <f>B26/744*1.28</f>
        <v>0.20381075268817206</v>
      </c>
      <c r="H26" s="5">
        <f>C26/720*1.13</f>
        <v>0</v>
      </c>
      <c r="I26" s="7">
        <f>D26/744*1.36</f>
        <v>2.1058302150537638</v>
      </c>
      <c r="J26" s="7">
        <v>1.9119999999999999</v>
      </c>
      <c r="K26" s="8">
        <f t="shared" si="2"/>
        <v>4.2216409677419353</v>
      </c>
      <c r="M26" s="9"/>
    </row>
    <row r="27" spans="1:21" x14ac:dyDescent="0.25">
      <c r="A27" s="3" t="s">
        <v>8</v>
      </c>
      <c r="B27" s="5">
        <v>0</v>
      </c>
      <c r="C27" s="5">
        <v>0</v>
      </c>
      <c r="D27" s="4">
        <v>81.644000000000005</v>
      </c>
      <c r="E27" s="5">
        <v>0</v>
      </c>
      <c r="F27" s="6">
        <f t="shared" si="0"/>
        <v>81.644000000000005</v>
      </c>
      <c r="G27" s="5">
        <f>B27/720*1.114</f>
        <v>0</v>
      </c>
      <c r="H27" s="5">
        <f t="shared" ref="H27" si="5">C27/720*1.13</f>
        <v>0</v>
      </c>
      <c r="I27" s="7">
        <f>D27/744*1.36</f>
        <v>0.14924172043010756</v>
      </c>
      <c r="J27" s="5">
        <f>E27/720*1.19</f>
        <v>0</v>
      </c>
      <c r="K27" s="8">
        <f t="shared" si="2"/>
        <v>0.14924172043010756</v>
      </c>
      <c r="M27" s="9"/>
    </row>
    <row r="28" spans="1:21" x14ac:dyDescent="0.25">
      <c r="A28" s="3" t="s">
        <v>15</v>
      </c>
      <c r="B28" s="5">
        <v>0</v>
      </c>
      <c r="C28" s="5">
        <v>0</v>
      </c>
      <c r="D28" s="4">
        <v>197.61099999999999</v>
      </c>
      <c r="E28" s="5">
        <v>0</v>
      </c>
      <c r="F28" s="6">
        <f t="shared" si="0"/>
        <v>197.61099999999999</v>
      </c>
      <c r="G28" s="5">
        <f t="shared" ref="G28:H28" si="6">B28/720*1.13</f>
        <v>0</v>
      </c>
      <c r="H28" s="5">
        <f t="shared" si="6"/>
        <v>0</v>
      </c>
      <c r="I28" s="7">
        <f>D28/744*1.25</f>
        <v>0.33200772849462368</v>
      </c>
      <c r="J28" s="5">
        <f>E28/720*1.13</f>
        <v>0</v>
      </c>
      <c r="K28" s="8">
        <f t="shared" si="2"/>
        <v>0.33200772849462368</v>
      </c>
      <c r="M28" s="9"/>
    </row>
    <row r="29" spans="1:21" ht="15.75" thickBot="1" x14ac:dyDescent="0.3">
      <c r="A29" s="14" t="s">
        <v>23</v>
      </c>
      <c r="B29" s="15">
        <f t="shared" ref="B29:K29" si="7">SUM(B7:B28)</f>
        <v>25544.648999999994</v>
      </c>
      <c r="C29" s="15">
        <f t="shared" si="7"/>
        <v>2808.2830000000004</v>
      </c>
      <c r="D29" s="15">
        <f t="shared" si="7"/>
        <v>24629.907000000003</v>
      </c>
      <c r="E29" s="15">
        <f t="shared" si="7"/>
        <v>1269.7739999999999</v>
      </c>
      <c r="F29" s="15">
        <f t="shared" si="7"/>
        <v>54252.61299999999</v>
      </c>
      <c r="G29" s="15">
        <f t="shared" si="7"/>
        <v>44.340826940860211</v>
      </c>
      <c r="H29" s="15">
        <f t="shared" si="7"/>
        <v>4.9251351747311825</v>
      </c>
      <c r="I29" s="15">
        <f t="shared" si="7"/>
        <v>44.452005685483869</v>
      </c>
      <c r="J29" s="15">
        <f t="shared" si="7"/>
        <v>2.2876964784946234</v>
      </c>
      <c r="K29" s="16">
        <f t="shared" si="7"/>
        <v>96.005664279569913</v>
      </c>
    </row>
    <row r="30" spans="1:21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2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D8A23-57C5-4B0B-A57B-B4621553025C}">
  <dimension ref="A2:R31"/>
  <sheetViews>
    <sheetView workbookViewId="0">
      <selection activeCell="G7" sqref="G7:J28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5" x14ac:dyDescent="0.25">
      <c r="A2" s="24" t="s">
        <v>39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5" ht="15.75" thickBot="1" x14ac:dyDescent="0.3"/>
    <row r="5" spans="1:15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5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5" x14ac:dyDescent="0.25">
      <c r="A7" s="3" t="s">
        <v>17</v>
      </c>
      <c r="B7" s="4">
        <f>705.299+9.922</f>
        <v>715.221</v>
      </c>
      <c r="C7" s="5">
        <v>0</v>
      </c>
      <c r="D7" s="4">
        <v>439.81099999999998</v>
      </c>
      <c r="E7" s="5">
        <v>0</v>
      </c>
      <c r="F7" s="6">
        <f t="shared" ref="F7:F28" si="0">B7+C7+D7+E7</f>
        <v>1155.0319999999999</v>
      </c>
      <c r="G7" s="7">
        <f>B7/744*1.8</f>
        <v>1.7303733870967741</v>
      </c>
      <c r="H7" s="5">
        <f t="shared" ref="H7" si="1">C7/720*1.13</f>
        <v>0</v>
      </c>
      <c r="I7" s="7">
        <f>D7/744*1.3</f>
        <v>0.76848696236559144</v>
      </c>
      <c r="J7" s="5">
        <f>E7/720*1.13</f>
        <v>0</v>
      </c>
      <c r="K7" s="8">
        <f t="shared" ref="K7:K28" si="2">G7+H7+I7+J7</f>
        <v>2.4988603494623653</v>
      </c>
      <c r="M7" s="9"/>
    </row>
    <row r="8" spans="1:15" x14ac:dyDescent="0.25">
      <c r="A8" s="3" t="s">
        <v>9</v>
      </c>
      <c r="B8" s="4">
        <v>1042.8689999999999</v>
      </c>
      <c r="C8" s="5">
        <v>0</v>
      </c>
      <c r="D8" s="5">
        <v>0</v>
      </c>
      <c r="E8" s="5">
        <v>0</v>
      </c>
      <c r="F8" s="6">
        <f t="shared" si="0"/>
        <v>1042.8689999999999</v>
      </c>
      <c r="G8" s="7">
        <f>B8/744*1.4</f>
        <v>1.962387903225806</v>
      </c>
      <c r="H8" s="5">
        <f>C8/720*1.13</f>
        <v>0</v>
      </c>
      <c r="I8" s="5">
        <f>D8/744*1.13</f>
        <v>0</v>
      </c>
      <c r="J8" s="5">
        <f>E8/720*1.13</f>
        <v>0</v>
      </c>
      <c r="K8" s="8">
        <f t="shared" si="2"/>
        <v>1.962387903225806</v>
      </c>
      <c r="M8" s="9"/>
    </row>
    <row r="9" spans="1:15" x14ac:dyDescent="0.25">
      <c r="A9" s="3" t="s">
        <v>32</v>
      </c>
      <c r="B9" s="7">
        <v>123.072</v>
      </c>
      <c r="C9" s="5">
        <v>0</v>
      </c>
      <c r="D9" s="4">
        <v>3431.1790000000001</v>
      </c>
      <c r="E9" s="4">
        <v>51.576999999999998</v>
      </c>
      <c r="F9" s="6">
        <f t="shared" si="0"/>
        <v>3605.8280000000004</v>
      </c>
      <c r="G9" s="7">
        <f>B9/744*1.4</f>
        <v>0.23158709677419353</v>
      </c>
      <c r="H9" s="5">
        <f>C9/720*1.13</f>
        <v>0</v>
      </c>
      <c r="I9" s="7">
        <f>D9/744*1.39</f>
        <v>6.4104016263440853</v>
      </c>
      <c r="J9" s="7">
        <v>9.7000000000000003E-2</v>
      </c>
      <c r="K9" s="8">
        <f t="shared" si="2"/>
        <v>6.738988723118279</v>
      </c>
      <c r="M9" s="9"/>
    </row>
    <row r="10" spans="1:15" x14ac:dyDescent="0.25">
      <c r="A10" s="3" t="s">
        <v>19</v>
      </c>
      <c r="B10" s="4">
        <f>1409.497+880.01</f>
        <v>2289.5070000000001</v>
      </c>
      <c r="C10" s="5">
        <v>0</v>
      </c>
      <c r="D10" s="10">
        <v>0</v>
      </c>
      <c r="E10" s="10">
        <v>0</v>
      </c>
      <c r="F10" s="6">
        <f t="shared" si="0"/>
        <v>2289.5070000000001</v>
      </c>
      <c r="G10" s="7">
        <f>B10/744*1.25</f>
        <v>3.8466179435483872</v>
      </c>
      <c r="H10" s="5">
        <f>C10/720*1.13</f>
        <v>0</v>
      </c>
      <c r="I10" s="5">
        <f>D10/744*1.29</f>
        <v>0</v>
      </c>
      <c r="J10" s="5">
        <f>E10/720*1.25</f>
        <v>0</v>
      </c>
      <c r="K10" s="8">
        <f t="shared" si="2"/>
        <v>3.8466179435483872</v>
      </c>
      <c r="M10" s="9"/>
    </row>
    <row r="11" spans="1:15" x14ac:dyDescent="0.25">
      <c r="A11" s="3" t="s">
        <v>26</v>
      </c>
      <c r="B11" s="4">
        <f>6567.288+972.329</f>
        <v>7539.6169999999993</v>
      </c>
      <c r="C11" s="4">
        <v>935.37900000000002</v>
      </c>
      <c r="D11" s="4">
        <f>2216.417+359.685</f>
        <v>2576.1019999999999</v>
      </c>
      <c r="E11" s="7">
        <f>63.328+20.333</f>
        <v>83.661000000000001</v>
      </c>
      <c r="F11" s="6">
        <f t="shared" si="0"/>
        <v>11134.758999999998</v>
      </c>
      <c r="G11" s="7">
        <f>B11/744*1.25</f>
        <v>12.667367271505373</v>
      </c>
      <c r="H11" s="7">
        <v>1.694</v>
      </c>
      <c r="I11" s="7">
        <f>D11/744*1.2</f>
        <v>4.1550032258064507</v>
      </c>
      <c r="J11" s="7">
        <f>E11/744*1.2</f>
        <v>0.13493709677419355</v>
      </c>
      <c r="K11" s="8">
        <f t="shared" si="2"/>
        <v>18.651307594086017</v>
      </c>
      <c r="M11" s="9"/>
    </row>
    <row r="12" spans="1:15" x14ac:dyDescent="0.25">
      <c r="A12" s="3" t="s">
        <v>21</v>
      </c>
      <c r="B12" s="10">
        <v>0</v>
      </c>
      <c r="C12" s="4">
        <f>546.724+481.641</f>
        <v>1028.365</v>
      </c>
      <c r="D12" s="4">
        <f>7196.032+54.828</f>
        <v>7250.8600000000006</v>
      </c>
      <c r="E12" s="10">
        <v>0</v>
      </c>
      <c r="F12" s="6">
        <f t="shared" si="0"/>
        <v>8279.2250000000004</v>
      </c>
      <c r="G12" s="5">
        <f>B12/720*1.19</f>
        <v>0</v>
      </c>
      <c r="H12" s="7">
        <f>C12/744*1.26</f>
        <v>1.7415858870967744</v>
      </c>
      <c r="I12" s="7">
        <f>D12/744*1.29</f>
        <v>12.57205564516129</v>
      </c>
      <c r="J12" s="5">
        <f>E12/720*1.21</f>
        <v>0</v>
      </c>
      <c r="K12" s="8">
        <f t="shared" si="2"/>
        <v>14.313641532258064</v>
      </c>
      <c r="M12" s="9"/>
    </row>
    <row r="13" spans="1:15" x14ac:dyDescent="0.25">
      <c r="A13" s="3" t="s">
        <v>13</v>
      </c>
      <c r="B13" s="4">
        <f>2653.79+1162.377</f>
        <v>3816.1669999999999</v>
      </c>
      <c r="C13" s="4">
        <v>586.48199999999997</v>
      </c>
      <c r="D13" s="4">
        <v>71.784000000000006</v>
      </c>
      <c r="E13" s="5">
        <v>0</v>
      </c>
      <c r="F13" s="6">
        <f t="shared" si="0"/>
        <v>4474.4329999999991</v>
      </c>
      <c r="G13" s="7">
        <f>B13/744*1.22</f>
        <v>6.2576931989247306</v>
      </c>
      <c r="H13" s="7">
        <v>0.88300000000000001</v>
      </c>
      <c r="I13" s="7">
        <f>D13/744*1.28</f>
        <v>0.12349935483870969</v>
      </c>
      <c r="J13" s="5">
        <f>E13/720*1.13</f>
        <v>0</v>
      </c>
      <c r="K13" s="8">
        <f t="shared" si="2"/>
        <v>7.26419255376344</v>
      </c>
      <c r="M13" s="9"/>
      <c r="O13" s="9"/>
    </row>
    <row r="14" spans="1:15" x14ac:dyDescent="0.25">
      <c r="A14" s="3" t="s">
        <v>16</v>
      </c>
      <c r="B14" s="4">
        <f>331.755+1919.077</f>
        <v>2250.8319999999999</v>
      </c>
      <c r="C14" s="5">
        <v>0</v>
      </c>
      <c r="D14" s="4">
        <f>730.732+347.291+1618.018+1315.708</f>
        <v>4011.7490000000003</v>
      </c>
      <c r="E14" s="7">
        <v>47.728000000000002</v>
      </c>
      <c r="F14" s="6">
        <f t="shared" si="0"/>
        <v>6310.3090000000002</v>
      </c>
      <c r="G14" s="7">
        <f>B14/744*1.17</f>
        <v>3.5396148387096771</v>
      </c>
      <c r="H14" s="5">
        <f>C14/720*1.13</f>
        <v>0</v>
      </c>
      <c r="I14" s="7">
        <f>D14/744*1.34</f>
        <v>7.2254619086021519</v>
      </c>
      <c r="J14" s="7">
        <f>E14/744*1.39</f>
        <v>8.9169247311827946E-2</v>
      </c>
      <c r="K14" s="8">
        <f t="shared" si="2"/>
        <v>10.854245994623657</v>
      </c>
      <c r="M14" s="17"/>
    </row>
    <row r="15" spans="1:15" x14ac:dyDescent="0.25">
      <c r="A15" s="11" t="s">
        <v>27</v>
      </c>
      <c r="B15" s="12">
        <v>2726.6610000000001</v>
      </c>
      <c r="C15" s="5">
        <v>0</v>
      </c>
      <c r="D15" s="5">
        <v>0</v>
      </c>
      <c r="E15" s="5">
        <v>0</v>
      </c>
      <c r="F15" s="6">
        <f t="shared" si="0"/>
        <v>2726.6610000000001</v>
      </c>
      <c r="G15" s="7">
        <v>4.202</v>
      </c>
      <c r="H15" s="5">
        <f>C15/720*1.13</f>
        <v>0</v>
      </c>
      <c r="I15" s="5">
        <f>D15/744*1.13</f>
        <v>0</v>
      </c>
      <c r="J15" s="5">
        <f>E15/720*1.13</f>
        <v>0</v>
      </c>
      <c r="K15" s="8">
        <f t="shared" si="2"/>
        <v>4.202</v>
      </c>
      <c r="M15" s="9"/>
    </row>
    <row r="16" spans="1:15" x14ac:dyDescent="0.25">
      <c r="A16" s="3" t="s">
        <v>20</v>
      </c>
      <c r="B16" s="4">
        <v>335.46499999999997</v>
      </c>
      <c r="C16" s="5">
        <v>0</v>
      </c>
      <c r="D16" s="4">
        <v>1.4830000000000001</v>
      </c>
      <c r="E16" s="5">
        <v>0</v>
      </c>
      <c r="F16" s="6">
        <f t="shared" si="0"/>
        <v>336.94799999999998</v>
      </c>
      <c r="G16" s="7">
        <f>B16/744*1.29</f>
        <v>0.58165302419354836</v>
      </c>
      <c r="H16" s="5">
        <f>C16/720*1.33</f>
        <v>0</v>
      </c>
      <c r="I16" s="7">
        <f>D16/744*1.26</f>
        <v>2.5115322580645163E-3</v>
      </c>
      <c r="J16" s="5">
        <f>E16/720*1.13</f>
        <v>0</v>
      </c>
      <c r="K16" s="8">
        <f t="shared" si="2"/>
        <v>0.58416455645161292</v>
      </c>
      <c r="M16" s="9"/>
    </row>
    <row r="17" spans="1:18" x14ac:dyDescent="0.25">
      <c r="A17" s="3" t="s">
        <v>35</v>
      </c>
      <c r="B17" s="5">
        <v>0</v>
      </c>
      <c r="C17" s="5">
        <v>0</v>
      </c>
      <c r="D17" s="4">
        <v>502.99900000000002</v>
      </c>
      <c r="E17" s="5">
        <v>0</v>
      </c>
      <c r="F17" s="6">
        <f t="shared" si="0"/>
        <v>502.99900000000002</v>
      </c>
      <c r="G17" s="5">
        <f t="shared" ref="G17:J17" si="3">B17/720*1.33</f>
        <v>0</v>
      </c>
      <c r="H17" s="5">
        <f t="shared" si="3"/>
        <v>0</v>
      </c>
      <c r="I17" s="7">
        <v>0.79100000000000004</v>
      </c>
      <c r="J17" s="5">
        <f t="shared" si="3"/>
        <v>0</v>
      </c>
      <c r="K17" s="8">
        <f t="shared" si="2"/>
        <v>0.79100000000000004</v>
      </c>
      <c r="M17" s="9"/>
    </row>
    <row r="18" spans="1:18" x14ac:dyDescent="0.25">
      <c r="A18" s="13" t="s">
        <v>22</v>
      </c>
      <c r="B18" s="4">
        <v>246.61699999999999</v>
      </c>
      <c r="C18" s="10">
        <v>0</v>
      </c>
      <c r="D18" s="4">
        <v>244.095</v>
      </c>
      <c r="E18" s="10">
        <v>0</v>
      </c>
      <c r="F18" s="6">
        <f t="shared" si="0"/>
        <v>490.71199999999999</v>
      </c>
      <c r="G18" s="7">
        <f>B18/744*1.39</f>
        <v>0.46074950268817194</v>
      </c>
      <c r="H18" s="5">
        <f t="shared" ref="H18:J18" si="4">C18/720*1.19</f>
        <v>0</v>
      </c>
      <c r="I18" s="7">
        <v>0.45800000000000002</v>
      </c>
      <c r="J18" s="5">
        <f t="shared" si="4"/>
        <v>0</v>
      </c>
      <c r="K18" s="8">
        <f t="shared" si="2"/>
        <v>0.91874950268817202</v>
      </c>
      <c r="M18" s="9"/>
    </row>
    <row r="19" spans="1:18" x14ac:dyDescent="0.25">
      <c r="A19" s="3" t="s">
        <v>14</v>
      </c>
      <c r="B19" s="5">
        <v>0</v>
      </c>
      <c r="C19" s="5">
        <v>0</v>
      </c>
      <c r="D19" s="4">
        <v>528.06399999999996</v>
      </c>
      <c r="E19" s="5">
        <v>0</v>
      </c>
      <c r="F19" s="6">
        <f t="shared" si="0"/>
        <v>528.06399999999996</v>
      </c>
      <c r="G19" s="5">
        <f>B19/720*1.13</f>
        <v>0</v>
      </c>
      <c r="H19" s="5">
        <f>C19/720*1.13</f>
        <v>0</v>
      </c>
      <c r="I19" s="7">
        <f>D19/744*1.53</f>
        <v>1.085938064516129</v>
      </c>
      <c r="J19" s="5">
        <f>E19/720*1.13</f>
        <v>0</v>
      </c>
      <c r="K19" s="8">
        <f t="shared" si="2"/>
        <v>1.085938064516129</v>
      </c>
      <c r="M19" s="9"/>
    </row>
    <row r="20" spans="1:18" x14ac:dyDescent="0.25">
      <c r="A20" s="3" t="s">
        <v>18</v>
      </c>
      <c r="B20" s="5">
        <v>0</v>
      </c>
      <c r="C20" s="7">
        <v>315.01499999999999</v>
      </c>
      <c r="D20" s="10">
        <v>0</v>
      </c>
      <c r="E20" s="10">
        <v>0</v>
      </c>
      <c r="F20" s="6">
        <f t="shared" si="0"/>
        <v>315.01499999999999</v>
      </c>
      <c r="G20" s="5">
        <f>B20/720*1.19</f>
        <v>0</v>
      </c>
      <c r="H20" s="7">
        <f>C20/744*1.27</f>
        <v>0.53772721774193544</v>
      </c>
      <c r="I20" s="5">
        <f>D20/744*1.25</f>
        <v>0</v>
      </c>
      <c r="J20" s="5">
        <f>E20/720*1.25</f>
        <v>0</v>
      </c>
      <c r="K20" s="8">
        <f t="shared" si="2"/>
        <v>0.53772721774193544</v>
      </c>
      <c r="M20" s="9"/>
    </row>
    <row r="21" spans="1:18" x14ac:dyDescent="0.25">
      <c r="A21" s="3" t="s">
        <v>28</v>
      </c>
      <c r="B21" s="4">
        <f>2202.014+49.636</f>
        <v>2251.65</v>
      </c>
      <c r="C21" s="7">
        <v>231.703</v>
      </c>
      <c r="D21" s="4">
        <v>1655.623</v>
      </c>
      <c r="E21" s="5">
        <v>0</v>
      </c>
      <c r="F21" s="6">
        <f t="shared" si="0"/>
        <v>4138.9760000000006</v>
      </c>
      <c r="G21" s="7">
        <f>B21/744*1.1</f>
        <v>3.3290524193548388</v>
      </c>
      <c r="H21" s="7">
        <f>C21/744*1.34</f>
        <v>0.41731454301075271</v>
      </c>
      <c r="I21" s="7">
        <f>D21/744*1.39</f>
        <v>3.093166626344086</v>
      </c>
      <c r="J21" s="5">
        <f>E21/720*1.13</f>
        <v>0</v>
      </c>
      <c r="K21" s="8">
        <f t="shared" si="2"/>
        <v>6.8395335887096778</v>
      </c>
      <c r="M21" s="9"/>
    </row>
    <row r="22" spans="1:18" x14ac:dyDescent="0.25">
      <c r="A22" s="3" t="s">
        <v>12</v>
      </c>
      <c r="B22" s="5">
        <v>0</v>
      </c>
      <c r="C22" s="5">
        <v>0</v>
      </c>
      <c r="D22" s="4">
        <v>1538.405</v>
      </c>
      <c r="E22" s="5">
        <v>0</v>
      </c>
      <c r="F22" s="6">
        <f t="shared" si="0"/>
        <v>1538.405</v>
      </c>
      <c r="G22" s="5">
        <f>B22/720*1.13</f>
        <v>0</v>
      </c>
      <c r="H22" s="5">
        <f>C22/720*1.23</f>
        <v>0</v>
      </c>
      <c r="I22" s="7">
        <f>D22/744*1.37</f>
        <v>2.8328156586021511</v>
      </c>
      <c r="J22" s="5">
        <f>E22/720*1.13</f>
        <v>0</v>
      </c>
      <c r="K22" s="8">
        <f t="shared" si="2"/>
        <v>2.8328156586021511</v>
      </c>
      <c r="M22" s="9"/>
    </row>
    <row r="23" spans="1:18" x14ac:dyDescent="0.25">
      <c r="A23" s="3" t="s">
        <v>11</v>
      </c>
      <c r="B23" s="4">
        <v>1103.1079999999999</v>
      </c>
      <c r="C23" s="5">
        <v>0</v>
      </c>
      <c r="D23" s="5">
        <v>0</v>
      </c>
      <c r="E23" s="5">
        <v>0</v>
      </c>
      <c r="F23" s="6">
        <f t="shared" si="0"/>
        <v>1103.1079999999999</v>
      </c>
      <c r="G23" s="7">
        <f>B23/744*1.33</f>
        <v>1.9719538172043012</v>
      </c>
      <c r="H23" s="5">
        <f>C23/720*1.13</f>
        <v>0</v>
      </c>
      <c r="I23" s="5">
        <f>D23/744*1.13</f>
        <v>0</v>
      </c>
      <c r="J23" s="5">
        <f>E23/720*1.13</f>
        <v>0</v>
      </c>
      <c r="K23" s="8">
        <f t="shared" si="2"/>
        <v>1.9719538172043012</v>
      </c>
      <c r="M23" s="9"/>
    </row>
    <row r="24" spans="1:18" x14ac:dyDescent="0.25">
      <c r="A24" s="3" t="s">
        <v>29</v>
      </c>
      <c r="B24" s="5">
        <v>0</v>
      </c>
      <c r="C24" s="5">
        <v>0</v>
      </c>
      <c r="D24" s="4">
        <v>17.553000000000001</v>
      </c>
      <c r="E24" s="5">
        <v>0</v>
      </c>
      <c r="F24" s="6">
        <f t="shared" si="0"/>
        <v>17.553000000000001</v>
      </c>
      <c r="G24" s="5">
        <f>B24/720*1.13</f>
        <v>0</v>
      </c>
      <c r="H24" s="5">
        <f>C24/720*1.23</f>
        <v>0</v>
      </c>
      <c r="I24" s="7">
        <f>D24/744*1.69</f>
        <v>3.9871733870967742E-2</v>
      </c>
      <c r="J24" s="5">
        <f>E24/720*1.13</f>
        <v>0</v>
      </c>
      <c r="K24" s="8">
        <f t="shared" si="2"/>
        <v>3.9871733870967742E-2</v>
      </c>
      <c r="M24" s="9"/>
    </row>
    <row r="25" spans="1:18" x14ac:dyDescent="0.25">
      <c r="A25" s="3" t="s">
        <v>40</v>
      </c>
      <c r="B25" s="4">
        <f>1.978+671.14</f>
        <v>673.11799999999994</v>
      </c>
      <c r="C25" s="5">
        <v>0</v>
      </c>
      <c r="D25" s="4">
        <f>271.274+13.034</f>
        <v>284.30799999999999</v>
      </c>
      <c r="E25" s="4">
        <f>77.794+9.018</f>
        <v>86.811999999999998</v>
      </c>
      <c r="F25" s="6">
        <f t="shared" si="0"/>
        <v>1044.2379999999998</v>
      </c>
      <c r="G25" s="7">
        <f>B25/744*1.25</f>
        <v>1.1309106182795698</v>
      </c>
      <c r="H25" s="5">
        <f>C25/720*1.13</f>
        <v>0</v>
      </c>
      <c r="I25" s="7">
        <f>D25/744*1.26</f>
        <v>0.48148935483870969</v>
      </c>
      <c r="J25" s="7">
        <f>E25/744*1.3</f>
        <v>0.15168763440860214</v>
      </c>
      <c r="K25" s="8">
        <f t="shared" si="2"/>
        <v>1.7640876075268819</v>
      </c>
      <c r="M25" s="9"/>
      <c r="O25" s="18"/>
      <c r="P25" s="18"/>
      <c r="Q25" s="18"/>
      <c r="R25" s="18"/>
    </row>
    <row r="26" spans="1:18" x14ac:dyDescent="0.25">
      <c r="A26" s="3" t="s">
        <v>30</v>
      </c>
      <c r="B26" s="4">
        <v>112.122</v>
      </c>
      <c r="C26" s="5">
        <v>0</v>
      </c>
      <c r="D26" s="4">
        <v>1222.9349999999999</v>
      </c>
      <c r="E26" s="4">
        <v>1046.6020000000001</v>
      </c>
      <c r="F26" s="6">
        <f t="shared" si="0"/>
        <v>2381.6590000000001</v>
      </c>
      <c r="G26" s="7">
        <f>B26/744*1.28</f>
        <v>0.19289806451612904</v>
      </c>
      <c r="H26" s="5">
        <f>C26/720*1.13</f>
        <v>0</v>
      </c>
      <c r="I26" s="7">
        <f>D26/744*1.36</f>
        <v>2.2354725806451614</v>
      </c>
      <c r="J26" s="7">
        <v>1.96</v>
      </c>
      <c r="K26" s="8">
        <f t="shared" si="2"/>
        <v>4.3883706451612898</v>
      </c>
      <c r="M26" s="9"/>
    </row>
    <row r="27" spans="1:18" x14ac:dyDescent="0.25">
      <c r="A27" s="3" t="s">
        <v>8</v>
      </c>
      <c r="B27" s="5">
        <v>0</v>
      </c>
      <c r="C27" s="5">
        <v>0</v>
      </c>
      <c r="D27" s="4">
        <v>87.403999999999996</v>
      </c>
      <c r="E27" s="5">
        <v>0</v>
      </c>
      <c r="F27" s="6">
        <f t="shared" si="0"/>
        <v>87.403999999999996</v>
      </c>
      <c r="G27" s="5">
        <f>B27/720*1.114</f>
        <v>0</v>
      </c>
      <c r="H27" s="5">
        <f t="shared" ref="H27" si="5">C27/720*1.13</f>
        <v>0</v>
      </c>
      <c r="I27" s="7">
        <f>D27/744*1.36</f>
        <v>0.15977075268817204</v>
      </c>
      <c r="J27" s="5">
        <f>E27/720*1.19</f>
        <v>0</v>
      </c>
      <c r="K27" s="8">
        <f t="shared" si="2"/>
        <v>0.15977075268817204</v>
      </c>
      <c r="M27" s="9"/>
    </row>
    <row r="28" spans="1:18" x14ac:dyDescent="0.25">
      <c r="A28" s="3" t="s">
        <v>15</v>
      </c>
      <c r="B28" s="5">
        <v>0</v>
      </c>
      <c r="C28" s="5">
        <v>0</v>
      </c>
      <c r="D28" s="4">
        <v>181.36099999999999</v>
      </c>
      <c r="E28" s="5">
        <v>0</v>
      </c>
      <c r="F28" s="6">
        <f t="shared" si="0"/>
        <v>181.36099999999999</v>
      </c>
      <c r="G28" s="5">
        <f t="shared" ref="G28:H28" si="6">B28/720*1.13</f>
        <v>0</v>
      </c>
      <c r="H28" s="5">
        <f t="shared" si="6"/>
        <v>0</v>
      </c>
      <c r="I28" s="7">
        <f>D28/744*1.25</f>
        <v>0.30470598118279568</v>
      </c>
      <c r="J28" s="5">
        <f>E28/720*1.13</f>
        <v>0</v>
      </c>
      <c r="K28" s="8">
        <f t="shared" si="2"/>
        <v>0.30470598118279568</v>
      </c>
      <c r="M28" s="9"/>
    </row>
    <row r="29" spans="1:18" ht="15.75" thickBot="1" x14ac:dyDescent="0.3">
      <c r="A29" s="14" t="s">
        <v>23</v>
      </c>
      <c r="B29" s="15">
        <f t="shared" ref="B29:K29" si="7">SUM(B7:B28)</f>
        <v>25226.025999999998</v>
      </c>
      <c r="C29" s="15">
        <f t="shared" si="7"/>
        <v>3096.944</v>
      </c>
      <c r="D29" s="15">
        <f t="shared" si="7"/>
        <v>24045.715</v>
      </c>
      <c r="E29" s="15">
        <f t="shared" si="7"/>
        <v>1316.38</v>
      </c>
      <c r="F29" s="15">
        <f t="shared" si="7"/>
        <v>53685.064999999995</v>
      </c>
      <c r="G29" s="15">
        <f t="shared" si="7"/>
        <v>42.104859086021506</v>
      </c>
      <c r="H29" s="15">
        <f t="shared" si="7"/>
        <v>5.2736276478494633</v>
      </c>
      <c r="I29" s="15">
        <f t="shared" si="7"/>
        <v>42.739651008064513</v>
      </c>
      <c r="J29" s="15">
        <f t="shared" si="7"/>
        <v>2.4327939784946238</v>
      </c>
      <c r="K29" s="16">
        <f t="shared" si="7"/>
        <v>92.550931720430086</v>
      </c>
    </row>
    <row r="30" spans="1:18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8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F1B38-A35F-47E0-BD8C-B5B6551FDD5B}">
  <dimension ref="A2:R31"/>
  <sheetViews>
    <sheetView workbookViewId="0">
      <selection sqref="A1:XFD1048576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5" x14ac:dyDescent="0.25">
      <c r="A2" s="24" t="s">
        <v>41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5" ht="15.75" thickBot="1" x14ac:dyDescent="0.3"/>
    <row r="5" spans="1:15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5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5" x14ac:dyDescent="0.25">
      <c r="A7" s="3" t="s">
        <v>17</v>
      </c>
      <c r="B7" s="19">
        <f>937.869</f>
        <v>937.86900000000003</v>
      </c>
      <c r="C7" s="20">
        <v>0</v>
      </c>
      <c r="D7" s="19">
        <v>406.64699999999999</v>
      </c>
      <c r="E7" s="20">
        <v>0</v>
      </c>
      <c r="F7" s="6">
        <f t="shared" ref="F7:F28" si="0">B7+C7+D7+E7</f>
        <v>1344.5160000000001</v>
      </c>
      <c r="G7" s="21">
        <f>B7/720*1.8</f>
        <v>2.3446725000000002</v>
      </c>
      <c r="H7" s="20">
        <f t="shared" ref="H7" si="1">C7/720*1.13</f>
        <v>0</v>
      </c>
      <c r="I7" s="21">
        <f>D7/720*1.3</f>
        <v>0.73422375000000006</v>
      </c>
      <c r="J7" s="20">
        <f>E7/720*1.13</f>
        <v>0</v>
      </c>
      <c r="K7" s="8">
        <f t="shared" ref="K7:K28" si="2">G7+H7+I7+J7</f>
        <v>3.0788962500000001</v>
      </c>
      <c r="M7" s="9"/>
    </row>
    <row r="8" spans="1:15" x14ac:dyDescent="0.25">
      <c r="A8" s="3" t="s">
        <v>9</v>
      </c>
      <c r="B8" s="19">
        <v>866.34799999999996</v>
      </c>
      <c r="C8" s="20">
        <v>0</v>
      </c>
      <c r="D8" s="20">
        <v>0</v>
      </c>
      <c r="E8" s="20">
        <v>0</v>
      </c>
      <c r="F8" s="6">
        <f t="shared" si="0"/>
        <v>866.34799999999996</v>
      </c>
      <c r="G8" s="21">
        <f>B8/720*1.4</f>
        <v>1.6845655555555554</v>
      </c>
      <c r="H8" s="20">
        <f>C8/720*1.13</f>
        <v>0</v>
      </c>
      <c r="I8" s="20">
        <f>D8/744*1.13</f>
        <v>0</v>
      </c>
      <c r="J8" s="20">
        <f>E8/720*1.13</f>
        <v>0</v>
      </c>
      <c r="K8" s="8">
        <f t="shared" si="2"/>
        <v>1.6845655555555554</v>
      </c>
      <c r="M8" s="9"/>
    </row>
    <row r="9" spans="1:15" x14ac:dyDescent="0.25">
      <c r="A9" s="3" t="s">
        <v>32</v>
      </c>
      <c r="B9" s="21">
        <v>154.238</v>
      </c>
      <c r="C9" s="20">
        <v>0</v>
      </c>
      <c r="D9" s="19">
        <f>1126.225+1909.746</f>
        <v>3035.971</v>
      </c>
      <c r="E9" s="19">
        <v>47.493000000000002</v>
      </c>
      <c r="F9" s="6">
        <f t="shared" si="0"/>
        <v>3237.7019999999998</v>
      </c>
      <c r="G9" s="21">
        <f>B9/744*1.4</f>
        <v>0.29023279569892468</v>
      </c>
      <c r="H9" s="20">
        <f>C9/720*1.13</f>
        <v>0</v>
      </c>
      <c r="I9" s="21">
        <f>D9/720*1.4</f>
        <v>5.9032769444444444</v>
      </c>
      <c r="J9" s="21">
        <v>9.6000000000000002E-2</v>
      </c>
      <c r="K9" s="8">
        <f t="shared" si="2"/>
        <v>6.2895097401433695</v>
      </c>
      <c r="M9" s="9"/>
    </row>
    <row r="10" spans="1:15" x14ac:dyDescent="0.25">
      <c r="A10" s="3" t="s">
        <v>19</v>
      </c>
      <c r="B10" s="19">
        <f>1279.53+889.399</f>
        <v>2168.9290000000001</v>
      </c>
      <c r="C10" s="20">
        <v>0</v>
      </c>
      <c r="D10" s="22">
        <v>0</v>
      </c>
      <c r="E10" s="22">
        <v>0</v>
      </c>
      <c r="F10" s="6">
        <f t="shared" si="0"/>
        <v>2168.9290000000001</v>
      </c>
      <c r="G10" s="21">
        <f>B10/720*1.18</f>
        <v>3.5546336388888893</v>
      </c>
      <c r="H10" s="20">
        <f>C10/720*1.13</f>
        <v>0</v>
      </c>
      <c r="I10" s="20">
        <f>D10/744*1.29</f>
        <v>0</v>
      </c>
      <c r="J10" s="20">
        <f>E10/720*1.25</f>
        <v>0</v>
      </c>
      <c r="K10" s="8">
        <f t="shared" si="2"/>
        <v>3.5546336388888893</v>
      </c>
      <c r="M10" s="9"/>
    </row>
    <row r="11" spans="1:15" x14ac:dyDescent="0.25">
      <c r="A11" s="3" t="s">
        <v>26</v>
      </c>
      <c r="B11" s="19">
        <f>7324.227+847.711</f>
        <v>8171.9380000000001</v>
      </c>
      <c r="C11" s="19">
        <v>1366.43</v>
      </c>
      <c r="D11" s="19">
        <f>2163.427+329.278</f>
        <v>2492.7049999999999</v>
      </c>
      <c r="E11" s="21">
        <f>3.468+20.017</f>
        <v>23.484999999999999</v>
      </c>
      <c r="F11" s="6">
        <f t="shared" si="0"/>
        <v>12054.558000000001</v>
      </c>
      <c r="G11" s="21">
        <f>B11/720*1.25</f>
        <v>14.187392361111112</v>
      </c>
      <c r="H11" s="21">
        <v>2.65</v>
      </c>
      <c r="I11" s="21">
        <f>D11/720*1.2</f>
        <v>4.1545083333333332</v>
      </c>
      <c r="J11" s="21">
        <f>E11/720*1.2</f>
        <v>3.9141666666666665E-2</v>
      </c>
      <c r="K11" s="8">
        <f t="shared" si="2"/>
        <v>21.031042361111108</v>
      </c>
      <c r="M11" s="9"/>
    </row>
    <row r="12" spans="1:15" x14ac:dyDescent="0.25">
      <c r="A12" s="3" t="s">
        <v>21</v>
      </c>
      <c r="B12" s="22">
        <v>0</v>
      </c>
      <c r="C12" s="19">
        <f>646.446+333.241</f>
        <v>979.68700000000001</v>
      </c>
      <c r="D12" s="19">
        <f>5948.588+32.407</f>
        <v>5980.9949999999999</v>
      </c>
      <c r="E12" s="22">
        <v>0</v>
      </c>
      <c r="F12" s="6">
        <f t="shared" si="0"/>
        <v>6960.6819999999998</v>
      </c>
      <c r="G12" s="20">
        <f>B12/720*1.19</f>
        <v>0</v>
      </c>
      <c r="H12" s="21">
        <f>C12/720*1.26</f>
        <v>1.7144522499999999</v>
      </c>
      <c r="I12" s="21">
        <f>D12/720*1.34</f>
        <v>11.13129625</v>
      </c>
      <c r="J12" s="20">
        <f>E12/720*1.21</f>
        <v>0</v>
      </c>
      <c r="K12" s="8">
        <f t="shared" si="2"/>
        <v>12.845748499999999</v>
      </c>
      <c r="M12" s="9"/>
    </row>
    <row r="13" spans="1:15" x14ac:dyDescent="0.25">
      <c r="A13" s="3" t="s">
        <v>13</v>
      </c>
      <c r="B13" s="19">
        <f>2639.323+1202.486</f>
        <v>3841.8090000000002</v>
      </c>
      <c r="C13" s="19">
        <v>684.84900000000005</v>
      </c>
      <c r="D13" s="19">
        <v>109.738</v>
      </c>
      <c r="E13" s="20">
        <v>0</v>
      </c>
      <c r="F13" s="6">
        <f t="shared" si="0"/>
        <v>4636.3960000000006</v>
      </c>
      <c r="G13" s="21">
        <f>B13/720*1.11</f>
        <v>5.9227888750000011</v>
      </c>
      <c r="H13" s="21">
        <v>1.0289999999999999</v>
      </c>
      <c r="I13" s="21">
        <f>D13/720*1.3</f>
        <v>0.19813805555555555</v>
      </c>
      <c r="J13" s="20">
        <f>E13/720*1.13</f>
        <v>0</v>
      </c>
      <c r="K13" s="8">
        <f t="shared" si="2"/>
        <v>7.1499269305555568</v>
      </c>
      <c r="M13" s="9"/>
      <c r="O13" s="9"/>
    </row>
    <row r="14" spans="1:15" x14ac:dyDescent="0.25">
      <c r="A14" s="3" t="s">
        <v>16</v>
      </c>
      <c r="B14" s="19">
        <f>386.266+1796.317</f>
        <v>2182.5830000000001</v>
      </c>
      <c r="C14" s="20">
        <v>0</v>
      </c>
      <c r="D14" s="19">
        <f>675.647+321.648+1624.017+1193.907</f>
        <v>3815.2190000000001</v>
      </c>
      <c r="E14" s="21">
        <v>39.688000000000002</v>
      </c>
      <c r="F14" s="6">
        <f t="shared" si="0"/>
        <v>6037.49</v>
      </c>
      <c r="G14" s="21">
        <f>B14/720*1.15</f>
        <v>3.4860700694444442</v>
      </c>
      <c r="H14" s="20">
        <f>C14/720*1.13</f>
        <v>0</v>
      </c>
      <c r="I14" s="21">
        <f>D14/720*1.37</f>
        <v>7.2595139305555563</v>
      </c>
      <c r="J14" s="21">
        <f>E14/720*1.37</f>
        <v>7.5517444444444456E-2</v>
      </c>
      <c r="K14" s="8">
        <f t="shared" si="2"/>
        <v>10.821101444444446</v>
      </c>
      <c r="M14" s="17"/>
    </row>
    <row r="15" spans="1:15" x14ac:dyDescent="0.25">
      <c r="A15" s="11" t="s">
        <v>27</v>
      </c>
      <c r="B15" s="23">
        <v>2729.2049999999999</v>
      </c>
      <c r="C15" s="20">
        <v>0</v>
      </c>
      <c r="D15" s="20">
        <v>0</v>
      </c>
      <c r="E15" s="20">
        <v>0</v>
      </c>
      <c r="F15" s="6">
        <f t="shared" si="0"/>
        <v>2729.2049999999999</v>
      </c>
      <c r="G15" s="21">
        <v>4.3129999999999997</v>
      </c>
      <c r="H15" s="20">
        <f>C15/720*1.13</f>
        <v>0</v>
      </c>
      <c r="I15" s="20">
        <f>D15/744*1.13</f>
        <v>0</v>
      </c>
      <c r="J15" s="20">
        <f>E15/720*1.13</f>
        <v>0</v>
      </c>
      <c r="K15" s="8">
        <f t="shared" si="2"/>
        <v>4.3129999999999997</v>
      </c>
      <c r="M15" s="9"/>
    </row>
    <row r="16" spans="1:15" x14ac:dyDescent="0.25">
      <c r="A16" s="3" t="s">
        <v>20</v>
      </c>
      <c r="B16" s="19">
        <v>313.87599999999998</v>
      </c>
      <c r="C16" s="20">
        <v>0</v>
      </c>
      <c r="D16" s="19">
        <v>1.431</v>
      </c>
      <c r="E16" s="20">
        <v>0</v>
      </c>
      <c r="F16" s="6">
        <f t="shared" si="0"/>
        <v>315.30699999999996</v>
      </c>
      <c r="G16" s="21">
        <f>B16/720*1.28</f>
        <v>0.55800177777777782</v>
      </c>
      <c r="H16" s="20">
        <f>C16/720*1.33</f>
        <v>0</v>
      </c>
      <c r="I16" s="21">
        <f>D16/720*1.25</f>
        <v>2.484375E-3</v>
      </c>
      <c r="J16" s="20">
        <f>E16/720*1.13</f>
        <v>0</v>
      </c>
      <c r="K16" s="8">
        <f t="shared" si="2"/>
        <v>0.5604861527777778</v>
      </c>
      <c r="M16" s="9"/>
    </row>
    <row r="17" spans="1:18" x14ac:dyDescent="0.25">
      <c r="A17" s="3" t="s">
        <v>35</v>
      </c>
      <c r="B17" s="20">
        <v>0</v>
      </c>
      <c r="C17" s="20">
        <v>0</v>
      </c>
      <c r="D17" s="19">
        <v>492.85300000000001</v>
      </c>
      <c r="E17" s="20">
        <v>0</v>
      </c>
      <c r="F17" s="6">
        <f t="shared" si="0"/>
        <v>492.85300000000001</v>
      </c>
      <c r="G17" s="20">
        <f t="shared" ref="G17:J17" si="3">B17/720*1.33</f>
        <v>0</v>
      </c>
      <c r="H17" s="20">
        <f t="shared" si="3"/>
        <v>0</v>
      </c>
      <c r="I17" s="21">
        <v>0.79800000000000004</v>
      </c>
      <c r="J17" s="20">
        <f t="shared" si="3"/>
        <v>0</v>
      </c>
      <c r="K17" s="8">
        <f t="shared" si="2"/>
        <v>0.79800000000000004</v>
      </c>
      <c r="M17" s="9"/>
    </row>
    <row r="18" spans="1:18" x14ac:dyDescent="0.25">
      <c r="A18" s="13" t="s">
        <v>22</v>
      </c>
      <c r="B18" s="19">
        <v>212.52199999999999</v>
      </c>
      <c r="C18" s="22">
        <v>0</v>
      </c>
      <c r="D18" s="19">
        <v>199.096</v>
      </c>
      <c r="E18" s="22">
        <v>0</v>
      </c>
      <c r="F18" s="6">
        <f t="shared" si="0"/>
        <v>411.61799999999999</v>
      </c>
      <c r="G18" s="21">
        <f>B18/720*1.39</f>
        <v>0.41028552777777771</v>
      </c>
      <c r="H18" s="20">
        <f t="shared" ref="H18:J18" si="4">C18/720*1.19</f>
        <v>0</v>
      </c>
      <c r="I18" s="21">
        <v>0.377</v>
      </c>
      <c r="J18" s="20">
        <f t="shared" si="4"/>
        <v>0</v>
      </c>
      <c r="K18" s="8">
        <f t="shared" si="2"/>
        <v>0.78728552777777772</v>
      </c>
      <c r="M18" s="9"/>
    </row>
    <row r="19" spans="1:18" x14ac:dyDescent="0.25">
      <c r="A19" s="3" t="s">
        <v>14</v>
      </c>
      <c r="B19" s="20">
        <v>0</v>
      </c>
      <c r="C19" s="20">
        <v>0</v>
      </c>
      <c r="D19" s="19">
        <v>432.13099999999997</v>
      </c>
      <c r="E19" s="20">
        <v>0</v>
      </c>
      <c r="F19" s="6">
        <f t="shared" si="0"/>
        <v>432.13099999999997</v>
      </c>
      <c r="G19" s="20">
        <f>B19/720*1.13</f>
        <v>0</v>
      </c>
      <c r="H19" s="20">
        <f>C19/720*1.13</f>
        <v>0</v>
      </c>
      <c r="I19" s="21">
        <f>D19/720*1.49</f>
        <v>0.89427109722222209</v>
      </c>
      <c r="J19" s="20">
        <f>E19/720*1.13</f>
        <v>0</v>
      </c>
      <c r="K19" s="8">
        <f t="shared" si="2"/>
        <v>0.89427109722222209</v>
      </c>
      <c r="M19" s="9"/>
    </row>
    <row r="20" spans="1:18" x14ac:dyDescent="0.25">
      <c r="A20" s="3" t="s">
        <v>18</v>
      </c>
      <c r="B20" s="20">
        <v>0</v>
      </c>
      <c r="C20" s="21">
        <v>446.65699999999998</v>
      </c>
      <c r="D20" s="22">
        <v>0</v>
      </c>
      <c r="E20" s="22">
        <v>0</v>
      </c>
      <c r="F20" s="6">
        <f t="shared" si="0"/>
        <v>446.65699999999998</v>
      </c>
      <c r="G20" s="20">
        <f>B20/720*1.19</f>
        <v>0</v>
      </c>
      <c r="H20" s="21">
        <f>C20/720*1.27</f>
        <v>0.78785331944444448</v>
      </c>
      <c r="I20" s="20">
        <f>D20/744*1.25</f>
        <v>0</v>
      </c>
      <c r="J20" s="20">
        <f>E20/720*1.25</f>
        <v>0</v>
      </c>
      <c r="K20" s="8">
        <f t="shared" si="2"/>
        <v>0.78785331944444448</v>
      </c>
      <c r="M20" s="9"/>
    </row>
    <row r="21" spans="1:18" x14ac:dyDescent="0.25">
      <c r="A21" s="3" t="s">
        <v>28</v>
      </c>
      <c r="B21" s="19">
        <f>2222.761+79.93</f>
        <v>2302.6909999999998</v>
      </c>
      <c r="C21" s="21">
        <f>265.023</f>
        <v>265.02300000000002</v>
      </c>
      <c r="D21" s="19">
        <v>1302.8879999999999</v>
      </c>
      <c r="E21" s="20">
        <v>0</v>
      </c>
      <c r="F21" s="6">
        <f t="shared" si="0"/>
        <v>3870.6019999999999</v>
      </c>
      <c r="G21" s="21">
        <f>B21/720*1.1</f>
        <v>3.5180001388888891</v>
      </c>
      <c r="H21" s="21">
        <f>C21/720*1.34</f>
        <v>0.49323725000000007</v>
      </c>
      <c r="I21" s="21">
        <f>D21/720*1.39</f>
        <v>2.5152976666666662</v>
      </c>
      <c r="J21" s="20">
        <f>E21/720*1.13</f>
        <v>0</v>
      </c>
      <c r="K21" s="8">
        <f t="shared" si="2"/>
        <v>6.5265350555555557</v>
      </c>
      <c r="M21" s="9"/>
    </row>
    <row r="22" spans="1:18" x14ac:dyDescent="0.25">
      <c r="A22" s="3" t="s">
        <v>12</v>
      </c>
      <c r="B22" s="20">
        <v>0</v>
      </c>
      <c r="C22" s="20">
        <v>0</v>
      </c>
      <c r="D22" s="19">
        <v>1360.9580000000001</v>
      </c>
      <c r="E22" s="20">
        <v>0</v>
      </c>
      <c r="F22" s="6">
        <f t="shared" si="0"/>
        <v>1360.9580000000001</v>
      </c>
      <c r="G22" s="20">
        <f>B22/720*1.13</f>
        <v>0</v>
      </c>
      <c r="H22" s="20">
        <f>C22/720*1.23</f>
        <v>0</v>
      </c>
      <c r="I22" s="21">
        <f>D22/720*1.37</f>
        <v>2.5896006388888893</v>
      </c>
      <c r="J22" s="20">
        <f>E22/720*1.13</f>
        <v>0</v>
      </c>
      <c r="K22" s="8">
        <f t="shared" si="2"/>
        <v>2.5896006388888893</v>
      </c>
      <c r="M22" s="9"/>
    </row>
    <row r="23" spans="1:18" x14ac:dyDescent="0.25">
      <c r="A23" s="3" t="s">
        <v>11</v>
      </c>
      <c r="B23" s="19">
        <v>973.49400000000003</v>
      </c>
      <c r="C23" s="20">
        <v>0</v>
      </c>
      <c r="D23" s="20">
        <v>0</v>
      </c>
      <c r="E23" s="20">
        <v>0</v>
      </c>
      <c r="F23" s="6">
        <f t="shared" si="0"/>
        <v>973.49400000000003</v>
      </c>
      <c r="G23" s="21">
        <f>B23/720*1.33</f>
        <v>1.7982597500000004</v>
      </c>
      <c r="H23" s="20">
        <f>C23/720*1.13</f>
        <v>0</v>
      </c>
      <c r="I23" s="20">
        <f>D23/744*1.13</f>
        <v>0</v>
      </c>
      <c r="J23" s="20">
        <f>E23/720*1.13</f>
        <v>0</v>
      </c>
      <c r="K23" s="8">
        <f t="shared" si="2"/>
        <v>1.7982597500000004</v>
      </c>
      <c r="M23" s="9"/>
    </row>
    <row r="24" spans="1:18" x14ac:dyDescent="0.25">
      <c r="A24" s="3" t="s">
        <v>29</v>
      </c>
      <c r="B24" s="20">
        <v>0</v>
      </c>
      <c r="C24" s="20">
        <v>0</v>
      </c>
      <c r="D24" s="19">
        <v>16.79</v>
      </c>
      <c r="E24" s="20">
        <v>0</v>
      </c>
      <c r="F24" s="6">
        <f t="shared" si="0"/>
        <v>16.79</v>
      </c>
      <c r="G24" s="20">
        <f>B24/720*1.13</f>
        <v>0</v>
      </c>
      <c r="H24" s="20">
        <f>C24/720*1.23</f>
        <v>0</v>
      </c>
      <c r="I24" s="21">
        <f>D24/720*1.7</f>
        <v>3.9643055555555556E-2</v>
      </c>
      <c r="J24" s="20">
        <f>E24/720*1.13</f>
        <v>0</v>
      </c>
      <c r="K24" s="8">
        <f t="shared" si="2"/>
        <v>3.9643055555555556E-2</v>
      </c>
      <c r="M24" s="9"/>
    </row>
    <row r="25" spans="1:18" x14ac:dyDescent="0.25">
      <c r="A25" s="3" t="s">
        <v>40</v>
      </c>
      <c r="B25" s="19">
        <f>2.899+452.967</f>
        <v>455.86599999999999</v>
      </c>
      <c r="C25" s="20">
        <v>0</v>
      </c>
      <c r="D25" s="19">
        <f>252.094+12.843</f>
        <v>264.93700000000001</v>
      </c>
      <c r="E25" s="19">
        <f>70.294+8.682</f>
        <v>78.975999999999999</v>
      </c>
      <c r="F25" s="6">
        <f t="shared" si="0"/>
        <v>799.779</v>
      </c>
      <c r="G25" s="21">
        <f>B25/720*1.25</f>
        <v>0.79143402777777772</v>
      </c>
      <c r="H25" s="20">
        <f>C25/720*1.13</f>
        <v>0</v>
      </c>
      <c r="I25" s="21">
        <f>D25/720*1.26</f>
        <v>0.46363975000000002</v>
      </c>
      <c r="J25" s="21">
        <f>E25/720*1.3</f>
        <v>0.14259555555555556</v>
      </c>
      <c r="K25" s="8">
        <f t="shared" si="2"/>
        <v>1.3976693333333332</v>
      </c>
      <c r="M25" s="9"/>
      <c r="O25" s="18"/>
      <c r="P25" s="18"/>
      <c r="Q25" s="18"/>
      <c r="R25" s="18"/>
    </row>
    <row r="26" spans="1:18" x14ac:dyDescent="0.25">
      <c r="A26" s="3" t="s">
        <v>30</v>
      </c>
      <c r="B26" s="19">
        <v>97.706999999999994</v>
      </c>
      <c r="C26" s="20">
        <v>0</v>
      </c>
      <c r="D26" s="19">
        <v>1105.7059999999999</v>
      </c>
      <c r="E26" s="19">
        <v>920.25400000000002</v>
      </c>
      <c r="F26" s="6">
        <f t="shared" si="0"/>
        <v>2123.6669999999999</v>
      </c>
      <c r="G26" s="21">
        <f>B26/720*1.28</f>
        <v>0.17370133333333332</v>
      </c>
      <c r="H26" s="20">
        <f>C26/720*1.13</f>
        <v>0</v>
      </c>
      <c r="I26" s="21">
        <f>D26/720*1.34</f>
        <v>2.0578417222222223</v>
      </c>
      <c r="J26" s="21">
        <v>1.7450000000000001</v>
      </c>
      <c r="K26" s="8">
        <f t="shared" si="2"/>
        <v>3.9765430555555557</v>
      </c>
      <c r="M26" s="9"/>
    </row>
    <row r="27" spans="1:18" x14ac:dyDescent="0.25">
      <c r="A27" s="3" t="s">
        <v>8</v>
      </c>
      <c r="B27" s="20">
        <v>0</v>
      </c>
      <c r="C27" s="20">
        <v>0</v>
      </c>
      <c r="D27" s="19">
        <v>86.954999999999998</v>
      </c>
      <c r="E27" s="20">
        <v>0</v>
      </c>
      <c r="F27" s="6">
        <f t="shared" si="0"/>
        <v>86.954999999999998</v>
      </c>
      <c r="G27" s="20">
        <f>B27/720*1.114</f>
        <v>0</v>
      </c>
      <c r="H27" s="20">
        <f t="shared" ref="H27" si="5">C27/720*1.13</f>
        <v>0</v>
      </c>
      <c r="I27" s="21">
        <f>D27/720*1.35</f>
        <v>0.16304062499999999</v>
      </c>
      <c r="J27" s="20">
        <f>E27/720*1.19</f>
        <v>0</v>
      </c>
      <c r="K27" s="8">
        <f t="shared" si="2"/>
        <v>0.16304062499999999</v>
      </c>
      <c r="M27" s="9"/>
    </row>
    <row r="28" spans="1:18" x14ac:dyDescent="0.25">
      <c r="A28" s="3" t="s">
        <v>15</v>
      </c>
      <c r="B28" s="20">
        <v>0</v>
      </c>
      <c r="C28" s="20">
        <v>0</v>
      </c>
      <c r="D28" s="19">
        <v>167.16800000000001</v>
      </c>
      <c r="E28" s="20">
        <v>0</v>
      </c>
      <c r="F28" s="6">
        <f t="shared" si="0"/>
        <v>167.16800000000001</v>
      </c>
      <c r="G28" s="20">
        <f t="shared" ref="G28:H28" si="6">B28/720*1.13</f>
        <v>0</v>
      </c>
      <c r="H28" s="20">
        <f t="shared" si="6"/>
        <v>0</v>
      </c>
      <c r="I28" s="21">
        <f>D28/720*1.25</f>
        <v>0.29022222222222221</v>
      </c>
      <c r="J28" s="20">
        <f>E28/720*1.13</f>
        <v>0</v>
      </c>
      <c r="K28" s="8">
        <f t="shared" si="2"/>
        <v>0.29022222222222221</v>
      </c>
      <c r="M28" s="9"/>
    </row>
    <row r="29" spans="1:18" ht="15.75" thickBot="1" x14ac:dyDescent="0.3">
      <c r="A29" s="14" t="s">
        <v>23</v>
      </c>
      <c r="B29" s="15">
        <f t="shared" ref="B29:K29" si="7">SUM(B7:B28)</f>
        <v>25409.075000000001</v>
      </c>
      <c r="C29" s="15">
        <f t="shared" si="7"/>
        <v>3742.6460000000006</v>
      </c>
      <c r="D29" s="15">
        <f t="shared" si="7"/>
        <v>21272.188000000002</v>
      </c>
      <c r="E29" s="15">
        <f t="shared" si="7"/>
        <v>1109.896</v>
      </c>
      <c r="F29" s="15">
        <f t="shared" si="7"/>
        <v>51533.805000000008</v>
      </c>
      <c r="G29" s="15">
        <f t="shared" si="7"/>
        <v>43.033038351254483</v>
      </c>
      <c r="H29" s="15">
        <f t="shared" si="7"/>
        <v>6.6745428194444436</v>
      </c>
      <c r="I29" s="15">
        <f t="shared" si="7"/>
        <v>39.571998416666666</v>
      </c>
      <c r="J29" s="15">
        <f t="shared" si="7"/>
        <v>2.0982546666666666</v>
      </c>
      <c r="K29" s="16">
        <f t="shared" si="7"/>
        <v>91.377834254032294</v>
      </c>
    </row>
    <row r="30" spans="1:18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8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Писаренко</dc:creator>
  <cp:lastModifiedBy>Юрий Школьников</cp:lastModifiedBy>
  <dcterms:created xsi:type="dcterms:W3CDTF">2025-02-21T07:28:58Z</dcterms:created>
  <dcterms:modified xsi:type="dcterms:W3CDTF">2025-12-19T13:09:13Z</dcterms:modified>
</cp:coreProperties>
</file>